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<sst xmlns="http://schemas.openxmlformats.org/spreadsheetml/2006/main" count="4350" uniqueCount="1373">
  <si>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</si>
  <si>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</si>
  <si>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</si>
  <si>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</si>
  <si>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</si>
  <si>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</si>
  <si>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</si>
  <si>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</si>
  <si>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</si>
  <si>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</si>
  <si>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</si>
  <si>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</si>
  <si>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</si>
  <si>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</si>
  <si>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</si>
  <si>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</si>
  <si>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</si>
  <si>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</si>
  <si>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</si>
  <si>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</si>
  <si>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</si>
  <si>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</si>
  <si>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</si>
  <si>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</si>
  <si>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</si>
  <si>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</si>
  <si>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Pokemon Legends: Arceus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</si>
  <si>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</si>
  <si>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</si>
  <si>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</si>
  <si>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</si>
  <si>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</si>
  <si>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</si>
  <si>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</si>
  <si>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</si>
  <si>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</si>
  <si>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</si>
  <si>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</si>
  <si>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</si>
  <si>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</si>
  <si>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</si>
  <si>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</si>
  <si>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</si>
  <si>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</si>
  <si>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</si>
  <si>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</si>
  <si>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</si>
  <si>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</si>
  <si>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</si>
  <si>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</si>
  <si>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</si>
  <si>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</si>
  <si>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</si>
  <si>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</si>
  <si>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</si>
  <si>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</si>
  <si>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(♀)</t>
  </si>
  <si>
    <t>Nidorina</t>
  </si>
  <si>
    <t>Nidoqueen</t>
  </si>
  <si>
    <t>Nidoran (♂)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</si>
  <si>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</si>
  <si>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</si>
  <si>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</si>
  <si>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</si>
  <si>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</si>
  <si>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</si>
  <si>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</si>
  <si>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</si>
  <si>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</si>
  <si>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</si>
  <si>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</si>
  <si>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</si>
  <si>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</si>
  <si>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</si>
  <si>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</si>
  <si>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</si>
  <si>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</si>
  <si>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</si>
  <si>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</si>
  <si>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</si>
  <si>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</si>
  <si>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</si>
  <si>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</si>
  <si>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</si>
  <si>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</si>
  <si>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</si>
  <si>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</si>
  <si>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</si>
  <si>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</si>
  <si>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</si>
  <si>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</si>
  <si>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</si>
  <si>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</si>
  <si>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</si>
  <si>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</si>
  <si>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</si>
  <si>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</si>
  <si>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</si>
  <si>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</si>
  <si>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</si>
  <si>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</si>
  <si>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</si>
  <si>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</si>
  <si>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</si>
  <si>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</si>
  <si>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</si>
  <si>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</si>
  <si>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</si>
  <si>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</si>
  <si>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</si>
  <si>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</si>
  <si>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</si>
  <si>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</si>
  <si>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</si>
  <si>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</si>
  <si>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</si>
  <si>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</si>
  <si>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</si>
  <si>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</si>
  <si>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</si>
  <si>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</si>
  <si>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</si>
  <si>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</si>
  <si>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</si>
  <si>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</si>
  <si>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</si>
  <si>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</si>
  <si>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</si>
  <si>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</si>
  <si>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</si>
  <si>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</si>
  <si>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</si>
  <si>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</si>
  <si>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</si>
  <si>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</si>
  <si>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</si>
  <si>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</si>
  <si>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</si>
  <si>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</si>
  <si>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</si>
  <si>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</si>
  <si>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</si>
  <si>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</si>
  <si>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</si>
  <si>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</si>
  <si>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</si>
  <si>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</si>
  <si>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</si>
  <si>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</si>
  <si>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</si>
  <si>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</si>
  <si>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</si>
  <si>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</si>
  <si>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</si>
  <si>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</si>
  <si>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</si>
  <si>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</si>
  <si>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</si>
  <si>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</si>
  <si>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</si>
  <si>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</si>
  <si>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</si>
  <si>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</si>
  <si>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</si>
  <si>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</si>
  <si>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</si>
  <si>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</si>
  <si>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</si>
  <si>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</si>
  <si>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</si>
  <si>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</si>
  <si>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</si>
  <si>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</si>
  <si>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</si>
  <si>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</si>
  <si>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</si>
  <si>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</si>
  <si>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</si>
  <si>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</si>
  <si>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</si>
  <si>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</si>
  <si>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</si>
  <si>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</si>
  <si>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</si>
  <si>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</si>
  <si>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</si>
  <si>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</si>
  <si>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</si>
  <si>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</si>
  <si>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</si>
  <si>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</si>
  <si>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</si>
  <si>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</si>
  <si>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</si>
  <si>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</si>
  <si>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</si>
  <si>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</si>
  <si>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</si>
  <si>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</si>
  <si>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</si>
  <si>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</si>
  <si>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</si>
  <si>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</si>
  <si>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</si>
  <si>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</si>
  <si>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</si>
  <si>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</si>
  <si>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</si>
  <si>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</si>
  <si>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</si>
  <si>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</si>
  <si>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</si>
  <si>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</si>
  <si>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</si>
  <si>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</si>
  <si>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</si>
  <si>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</si>
  <si>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</si>
  <si>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</si>
  <si>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</si>
  <si>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</si>
  <si>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</si>
  <si>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</si>
  <si>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</si>
  <si>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</si>
  <si>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</si>
  <si>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</si>
  <si>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</si>
  <si>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</si>
  <si>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</si>
  <si>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</si>
  <si>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</si>
  <si>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</si>
  <si>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</si>
  <si>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</si>
  <si>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</si>
  <si>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</si>
  <si>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</si>
  <si>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</si>
  <si>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</si>
  <si>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</si>
  <si>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</si>
  <si>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</si>
  <si>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</si>
  <si>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</si>
  <si>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</si>
  <si>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</si>
  <si>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</si>
  <si>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</si>
  <si>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</si>
  <si>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</si>
  <si>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</si>
  <si>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</si>
  <si>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</si>
  <si>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</si>
  <si>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</si>
  <si>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</si>
  <si>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</si>
  <si>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</si>
  <si>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</si>
  <si>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</si>
  <si>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</si>
  <si>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</si>
  <si>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</si>
  <si>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</si>
  <si>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</si>
  <si>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</si>
  <si>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</si>
  <si>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</si>
  <si>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</si>
  <si>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</si>
  <si>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</si>
  <si>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</si>
  <si>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</si>
  <si>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</si>
  <si>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</si>
  <si>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</si>
  <si>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</si>
  <si>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</si>
  <si>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</si>
  <si>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</si>
  <si>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</si>
  <si>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</si>
  <si>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</si>
  <si>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</si>
  <si>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</si>
  <si>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</si>
  <si>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</si>
  <si>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</si>
  <si>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</si>
  <si>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</si>
  <si>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</si>
  <si>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</si>
  <si>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</si>
  <si>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</si>
  <si>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</si>
  <si>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</si>
  <si>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</si>
  <si>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</si>
  <si>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</si>
  <si>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</si>
  <si>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</si>
  <si>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</si>
  <si>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</si>
  <si>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</si>
  <si>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</si>
  <si>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</si>
  <si>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</si>
  <si>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</si>
  <si>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</si>
  <si>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</si>
  <si>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</si>
  <si>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</si>
  <si>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</si>
  <si>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</si>
  <si>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</si>
  <si>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</si>
  <si>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</si>
  <si>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</si>
  <si>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</si>
  <si>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</si>
  <si>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</si>
  <si>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</si>
  <si>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</si>
  <si>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</si>
  <si>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</si>
  <si>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</si>
  <si>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</si>
  <si>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</si>
  <si>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</si>
  <si>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</si>
  <si>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</si>
  <si>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</si>
  <si>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</si>
  <si>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</si>
  <si>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</si>
  <si>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</si>
  <si>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</si>
  <si>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</si>
  <si>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</si>
  <si>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</si>
  <si>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</si>
  <si>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</si>
  <si>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</si>
  <si>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</si>
  <si>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</si>
  <si>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</si>
  <si>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</si>
  <si>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</si>
  <si>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</si>
  <si>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</si>
  <si>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</si>
  <si>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</si>
  <si>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</si>
  <si>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</si>
  <si>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</si>
  <si>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</si>
  <si>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</si>
  <si>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</si>
  <si>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</si>
  <si>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</si>
  <si>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</si>
  <si>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</si>
  <si>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</si>
  <si>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</si>
  <si>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</si>
  <si>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</si>
  <si>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</si>
  <si>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</si>
  <si>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</si>
  <si>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</si>
  <si>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</si>
  <si>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</si>
  <si>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</si>
  <si>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</si>
  <si>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</si>
  <si>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</si>
  <si>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</si>
  <si>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</si>
  <si>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</si>
  <si>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</si>
  <si>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</si>
  <si>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</si>
  <si>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</si>
  <si>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</si>
  <si>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</si>
  <si>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</si>
  <si>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</si>
  <si>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</si>
  <si>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</si>
  <si>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</si>
  <si>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</si>
  <si>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</si>
  <si>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</si>
  <si>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</si>
  <si>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</si>
  <si>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</si>
  <si>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</si>
  <si>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</si>
  <si>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</si>
  <si>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</si>
  <si>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</si>
  <si>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</si>
  <si>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</si>
  <si>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</si>
  <si>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</si>
  <si>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</si>
  <si>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</si>
  <si>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</si>
  <si>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</si>
  <si>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</si>
  <si>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</si>
  <si>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</si>
  <si>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</si>
  <si>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</si>
  <si>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</si>
  <si>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</si>
  <si>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</si>
  <si>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</si>
  <si>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</si>
  <si>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</si>
  <si>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</si>
  <si>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</si>
  <si>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</si>
  <si>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</si>
  <si>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</si>
  <si>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</si>
  <si>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</si>
  <si>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</si>
  <si>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</si>
  <si>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</si>
  <si>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</si>
  <si>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</si>
  <si>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</si>
  <si>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</si>
  <si>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</si>
  <si>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</si>
  <si>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</si>
  <si>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</si>
  <si>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</si>
  <si>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</si>
  <si>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</si>
  <si>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</si>
  <si>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</si>
  <si>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</si>
  <si>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</si>
  <si>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</si>
  <si>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</si>
  <si>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</si>
  <si>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</si>
  <si>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</si>
  <si>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</si>
  <si>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</si>
  <si>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</si>
  <si>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</si>
  <si>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</si>
  <si>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</si>
  <si>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</si>
  <si>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</si>
  <si>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</si>
  <si>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</si>
  <si>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</si>
  <si>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</si>
  <si>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</si>
  <si>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</si>
  <si>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</si>
  <si>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</si>
  <si>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</si>
  <si>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</si>
  <si>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</si>
  <si>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</si>
  <si>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</si>
  <si>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</si>
  <si>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</si>
  <si>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</si>
  <si>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</si>
  <si>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</si>
  <si>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</si>
  <si>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</si>
  <si>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</si>
  <si>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</si>
  <si>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</si>
  <si>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</si>
  <si>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</si>
  <si>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</si>
  <si>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</si>
  <si>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</si>
  <si>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</si>
  <si>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</si>
  <si>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</si>
  <si>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</si>
  <si>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</si>
  <si>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</si>
  <si>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</si>
  <si>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</si>
  <si>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</si>
  <si>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</si>
  <si>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</si>
  <si>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</si>
  <si>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</si>
  <si>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</si>
  <si>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</si>
  <si>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</si>
  <si>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</si>
  <si>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</si>
  <si>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</si>
  <si>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</si>
  <si>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</si>
  <si>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</si>
  <si>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</si>
  <si>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</si>
  <si>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</si>
  <si>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</si>
  <si>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</si>
  <si>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</si>
  <si>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</si>
  <si>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</si>
  <si>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</si>
  <si>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</si>
  <si>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</si>
  <si>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</si>
  <si>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</si>
  <si>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</si>
  <si>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</si>
  <si>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</si>
  <si>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</si>
  <si>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</si>
  <si>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</si>
  <si>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</si>
  <si>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</si>
  <si>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</si>
  <si>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</si>
  <si>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</si>
  <si>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</si>
  <si>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</si>
  <si>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</si>
  <si>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</si>
  <si>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</si>
  <si>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</si>
  <si>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</si>
  <si>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</si>
  <si>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</si>
  <si>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</si>
  <si>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</si>
  <si>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</si>
  <si>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</si>
  <si>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</si>
  <si>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</si>
  <si>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</si>
  <si>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</si>
  <si>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</si>
  <si>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</si>
  <si>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</si>
  <si>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</si>
  <si>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</si>
  <si>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</si>
  <si>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</si>
  <si>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</si>
  <si>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</si>
  <si>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</si>
  <si>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</si>
  <si>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</si>
  <si>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</si>
  <si>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</si>
  <si>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</si>
  <si>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</si>
  <si>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</si>
  <si>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</si>
  <si>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</si>
  <si>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</si>
  <si>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</si>
  <si>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</si>
  <si>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</si>
  <si>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</si>
  <si>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</si>
  <si>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</si>
  <si>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</si>
  <si>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</si>
  <si>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</si>
  <si>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</si>
  <si>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</si>
  <si>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</si>
  <si>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</si>
  <si>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</si>
  <si>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</si>
  <si>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</si>
  <si>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</si>
  <si>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</si>
  <si>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</si>
  <si>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</si>
  <si>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</si>
  <si>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</si>
  <si>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</si>
  <si>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</si>
  <si>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</si>
  <si>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</si>
  <si>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</si>
  <si>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</si>
  <si>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</si>
  <si>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</si>
  <si>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</si>
  <si>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</si>
  <si>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</si>
  <si>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</si>
  <si>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</si>
  <si>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</si>
  <si>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</si>
  <si>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</si>
  <si>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</si>
  <si>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</si>
  <si>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</si>
  <si>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</si>
  <si>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</si>
  <si>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</si>
  <si>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</si>
  <si>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</si>
  <si>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</si>
  <si>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</si>
  <si>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</si>
  <si>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</si>
  <si>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</si>
  <si>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</si>
  <si>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</si>
  <si>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</si>
  <si>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</si>
  <si>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</si>
  <si>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</si>
  <si>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</si>
  <si>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</si>
  <si>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</si>
  <si>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</si>
  <si>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</si>
  <si>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</si>
  <si>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</si>
  <si>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</si>
  <si>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</si>
  <si>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</si>
  <si>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</si>
  <si>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</si>
  <si>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</si>
  <si>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</si>
  <si>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</si>
  <si>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</si>
  <si>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</si>
  <si>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</si>
  <si>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</si>
  <si>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</si>
  <si>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</si>
  <si>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</si>
  <si>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</si>
  <si>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</si>
  <si>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</si>
  <si>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</si>
  <si>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</si>
  <si>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</si>
  <si>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</si>
  <si>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</si>
  <si>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</si>
  <si>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</si>
  <si>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</si>
  <si>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</si>
  <si>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</si>
  <si>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</si>
  <si>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</si>
  <si>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</si>
  <si>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</si>
  <si>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</si>
  <si>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</si>
  <si>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</si>
  <si>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</si>
  <si>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</si>
  <si>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</si>
  <si>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</si>
  <si>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</si>
  <si>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</si>
  <si>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</si>
  <si>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</si>
  <si>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</si>
  <si>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</si>
  <si>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</si>
  <si>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</si>
  <si>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</si>
  <si>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</si>
  <si>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</si>
  <si>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</si>
  <si>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</si>
  <si>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</si>
  <si>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</si>
  <si>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</si>
  <si>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</si>
  <si>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</si>
  <si>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</si>
  <si>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</si>
  <si>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</si>
  <si>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</si>
  <si>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</si>
  <si>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</si>
  <si>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</si>
  <si>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</si>
  <si>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</si>
  <si>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</si>
  <si>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</si>
  <si>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</si>
  <si>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</si>
  <si>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</si>
  <si>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</si>
  <si>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</si>
  <si>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</si>
  <si>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</si>
  <si>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</si>
  <si>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</si>
  <si>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</si>
  <si>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</si>
  <si>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</si>
  <si>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</si>
  <si>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</si>
  <si>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</si>
  <si>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</si>
  <si>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</si>
  <si>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</si>
  <si>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</si>
  <si>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</si>
  <si>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</si>
  <si>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</si>
  <si>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</si>
  <si>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</si>
  <si>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</si>
  <si>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</si>
  <si>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</si>
  <si>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</si>
  <si>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</si>
  <si>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</si>
  <si>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</si>
  <si>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</si>
  <si>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</si>
  <si>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</si>
  <si>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</si>
  <si>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</si>
  <si>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</si>
  <si>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</si>
  <si>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</si>
  <si>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</si>
  <si>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</si>
  <si>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</si>
  <si>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</si>
  <si>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</si>
  <si>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</si>
  <si>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</si>
  <si>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</si>
  <si>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</si>
  <si>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</si>
  <si>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</si>
  <si>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</si>
  <si>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</si>
  <si>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</si>
  <si>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</si>
  <si>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</si>
  <si>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</si>
  <si>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</si>
  <si>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</si>
  <si>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</si>
  <si>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</si>
  <si>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</si>
  <si>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</si>
  <si>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</si>
  <si>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</si>
  <si>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</si>
  <si>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</si>
  <si>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</si>
  <si>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</si>
  <si>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</si>
  <si>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</si>
  <si>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</si>
  <si>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</si>
  <si>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</si>
  <si>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</si>
  <si>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</si>
  <si>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</si>
  <si>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</si>
  <si>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</si>
  <si>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</si>
  <si>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</si>
  <si>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</si>
  <si>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</si>
  <si>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</si>
  <si>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</si>
  <si>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</si>
  <si>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</si>
  <si>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</si>
  <si>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</si>
  <si>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</si>
  <si>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</si>
  <si>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</si>
  <si>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</si>
  <si>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</si>
  <si>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</si>
  <si>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</si>
  <si>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</si>
  <si>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</si>
  <si>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</si>
  <si>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</si>
  <si>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</si>
  <si>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</si>
  <si>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</si>
  <si>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</si>
  <si>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</si>
  <si>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</si>
  <si>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</si>
  <si>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</si>
  <si>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</si>
  <si>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</si>
  <si>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</si>
  <si>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</si>
  <si>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</si>
  <si>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</si>
  <si>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</si>
  <si>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</si>
  <si>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</si>
  <si>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</si>
  <si>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</si>
  <si>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</si>
  <si>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</si>
  <si>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</si>
  <si>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</si>
  <si>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</si>
  <si>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</si>
  <si>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</si>
  <si>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</si>
  <si>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</si>
  <si>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</si>
  <si>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</si>
  <si>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</si>
  <si>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</si>
  <si>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</si>
  <si>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</si>
  <si>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</si>
  <si>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</si>
  <si>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</si>
  <si>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</si>
  <si>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</si>
  <si>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</si>
  <si>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</si>
  <si>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</si>
  <si>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</si>
  <si>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</si>
  <si>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</si>
  <si>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</si>
  <si>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</si>
  <si>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</si>
  <si>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</si>
  <si>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</si>
  <si>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</si>
  <si>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</si>
  <si>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</si>
  <si>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</si>
  <si>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</si>
  <si>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</si>
  <si>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</si>
  <si>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</si>
  <si>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</si>
  <si>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</si>
  <si>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</si>
  <si>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</si>
  <si>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</si>
  <si>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</si>
  <si>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</si>
  <si>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</si>
  <si>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</si>
  <si>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</si>
  <si>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</si>
  <si>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</si>
  <si>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</si>
  <si>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</si>
  <si>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</si>
  <si>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</si>
  <si>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</si>
  <si>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</si>
  <si>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</si>
  <si>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</si>
  <si>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</si>
  <si>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</si>
  <si>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</si>
  <si>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</si>
  <si>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</si>
  <si>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</si>
  <si>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</si>
  <si>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</si>
  <si>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</si>
  <si>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</si>
  <si>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</si>
  <si>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</si>
  <si>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</si>
  <si>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</si>
  <si>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</si>
  <si>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</si>
  <si>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</si>
  <si>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</si>
  <si>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</si>
  <si>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</si>
  <si>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</si>
  <si>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</si>
  <si>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</si>
  <si>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</si>
  <si>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</si>
  <si>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</si>
  <si>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</si>
  <si>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</si>
  <si>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</si>
  <si>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</si>
  <si>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</si>
  <si>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</si>
  <si>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</si>
  <si>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</si>
  <si>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</si>
  <si>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</si>
  <si>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</si>
  <si>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</si>
  <si>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</si>
  <si>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</si>
  <si>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</si>
  <si>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</si>
  <si>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</si>
  <si>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</si>
  <si>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</si>
  <si>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</si>
  <si>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</si>
  <si>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</si>
  <si>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</si>
  <si>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</si>
  <si>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</si>
  <si>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</si>
  <si>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</si>
  <si>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</si>
  <si>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</si>
  <si>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</si>
  <si>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</si>
  <si>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</si>
  <si>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</si>
  <si>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 (♀)</t>
  </si>
  <si>
    <t>Butterfree (♀)</t>
  </si>
  <si>
    <t>Rattata (♀)</t>
  </si>
  <si>
    <t>Raticate (♀)</t>
  </si>
  <si>
    <t>Pikachu (♀)</t>
  </si>
  <si>
    <t>Raichu (♀)</t>
  </si>
  <si>
    <t>Zubat (♀)</t>
  </si>
  <si>
    <t>Golbat (♀)</t>
  </si>
  <si>
    <t>Gloom (♀)</t>
  </si>
  <si>
    <t>Vileplume (♀)</t>
  </si>
  <si>
    <t>Kadabra (♀)</t>
  </si>
  <si>
    <t>Alakazam (♀)</t>
  </si>
  <si>
    <t>Doduo (♀)</t>
  </si>
  <si>
    <t>Dodrio (♀)</t>
  </si>
  <si>
    <t>Hypno (♀)</t>
  </si>
  <si>
    <t>Rhyhorn (♀)</t>
  </si>
  <si>
    <t>Rhydon (♀)</t>
  </si>
  <si>
    <t>Goldeen (♀)</t>
  </si>
  <si>
    <t>Seaking (♀)</t>
  </si>
  <si>
    <t>Scyther (♀)</t>
  </si>
  <si>
    <t>Magikarp (♀)</t>
  </si>
  <si>
    <t>Gyarados (♀)</t>
  </si>
  <si>
    <t>Eevee (♀)</t>
  </si>
  <si>
    <t>Meganium (♀)</t>
  </si>
  <si>
    <t>Ledyba (♀)</t>
  </si>
  <si>
    <t>Ledian (♀)</t>
  </si>
  <si>
    <t>Xatu (♀)</t>
  </si>
  <si>
    <t>Sudowoodo (♀)</t>
  </si>
  <si>
    <t>Politoed (♀)</t>
  </si>
  <si>
    <t>Aipom (♀)</t>
  </si>
  <si>
    <t>Wooper (♀)</t>
  </si>
  <si>
    <t>Quagsire (♀)</t>
  </si>
  <si>
    <t>Murkrow (♀)</t>
  </si>
  <si>
    <t>Wobbuffet (♀)</t>
  </si>
  <si>
    <t>Girafarig (♀)</t>
  </si>
  <si>
    <t>Gligar (♀)</t>
  </si>
  <si>
    <t>Steelix (♀)</t>
  </si>
  <si>
    <t>Scizor (♀)</t>
  </si>
  <si>
    <t>Heracross (♀)</t>
  </si>
  <si>
    <t>Sneasel (♀)</t>
  </si>
  <si>
    <t>Sneasel-Hisui (♀)</t>
  </si>
  <si>
    <t>Ursaring (♀)</t>
  </si>
  <si>
    <t>Piloswine (♀)</t>
  </si>
  <si>
    <t>Octillery (♀)</t>
  </si>
  <si>
    <t>Houndoom (♀)</t>
  </si>
  <si>
    <t>Donphan (♀)</t>
  </si>
  <si>
    <t>Torchic (♀)</t>
  </si>
  <si>
    <t>Combusken (♀)</t>
  </si>
  <si>
    <t>Blaziken (♀)</t>
  </si>
  <si>
    <t>Beautifly (♀)</t>
  </si>
  <si>
    <t>Dustox (♀)</t>
  </si>
  <si>
    <t>Ludicolo (♀)</t>
  </si>
  <si>
    <t>Nuzleaf (♀)</t>
  </si>
  <si>
    <t>Shiftry (♀)</t>
  </si>
  <si>
    <t>Meditite (♀)</t>
  </si>
  <si>
    <t>Medicham (♀)</t>
  </si>
  <si>
    <t>Roselia (♀)</t>
  </si>
  <si>
    <t>Gulpin (♀)</t>
  </si>
  <si>
    <t>Swalot (♀)</t>
  </si>
  <si>
    <t>Numel (♀)</t>
  </si>
  <si>
    <t>Camerupt (♀)</t>
  </si>
  <si>
    <t>Cacturne (♀)</t>
  </si>
  <si>
    <t>Milotic (♀)</t>
  </si>
  <si>
    <t>Relicanth (♀)</t>
  </si>
  <si>
    <t>Starly (♀)</t>
  </si>
  <si>
    <t>Staravia (♀)</t>
  </si>
  <si>
    <t>Staraptor (♀)</t>
  </si>
  <si>
    <t>Bidoof (♀)</t>
  </si>
  <si>
    <t>Bibarel (♀)</t>
  </si>
  <si>
    <t>Kricketot (♀)</t>
  </si>
  <si>
    <t>Kricketune (♀)</t>
  </si>
  <si>
    <t>Shinx (♀)</t>
  </si>
  <si>
    <t>Luxio (♀)</t>
  </si>
  <si>
    <t>Luxray (♀)</t>
  </si>
  <si>
    <t>Roserade (♀)</t>
  </si>
  <si>
    <t>Combee (♀)</t>
  </si>
  <si>
    <t>Pachirisu (♀)</t>
  </si>
  <si>
    <t>Buizel (♀)</t>
  </si>
  <si>
    <t>Floatzel (♀)</t>
  </si>
  <si>
    <t>Ambipom (♀)</t>
  </si>
  <si>
    <t>Gible (♀)</t>
  </si>
  <si>
    <t>Gabite (♀)</t>
  </si>
  <si>
    <t>Garchomp (♀)</t>
  </si>
  <si>
    <t>Hippopotas (♀)</t>
  </si>
  <si>
    <t>Hippowdon (♀)</t>
  </si>
  <si>
    <t>Croagunk (♀)</t>
  </si>
  <si>
    <t>Toxicroak (♀)</t>
  </si>
  <si>
    <t>Finneon (♀)</t>
  </si>
  <si>
    <t>Lumineon (♀)</t>
  </si>
  <si>
    <t>Snover (♀)</t>
  </si>
  <si>
    <t>Abomasnow (♀)</t>
  </si>
  <si>
    <t>Weavile (♀)</t>
  </si>
  <si>
    <t>Rhyperior (♀)</t>
  </si>
  <si>
    <t>Tangrowth (♀)</t>
  </si>
  <si>
    <t>Mamoswine (♀)</t>
  </si>
  <si>
    <t>Unfezant (♀)</t>
  </si>
  <si>
    <t>Frillish (♀)</t>
  </si>
  <si>
    <t>Jellicent (♀)</t>
  </si>
  <si>
    <t>Pyroar (♀)</t>
  </si>
  <si>
    <t>Meowstic (♀)</t>
  </si>
  <si>
    <t>Indeedee (♀)</t>
  </si>
  <si>
    <t>Basculegion (♀)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</si>
  <si>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</si>
  <si>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</si>
  <si>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</si>
  <si>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</si>
  <si>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</si>
  <si>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</si>
  <si>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Pikachu-Partner-Cap</t>
  </si>
  <si>
    <t>Pikachu-World-Cap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</si>
  <si>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</si>
  <si>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</si>
  <si>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</si>
  <si>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</si>
  <si>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</si>
  <si>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</si>
  <si>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</si>
  <si>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</si>
  <si>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</si>
  <si>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</si>
  <si>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</si>
  <si>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</si>
  <si>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</si>
  <si>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</si>
  <si>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</si>
  <si>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</si>
  <si>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</si>
  <si>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</si>
  <si>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</si>
  <si>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</si>
  <si>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</si>
  <si>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</si>
  <si>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</si>
  <si>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</si>
  <si>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</si>
  <si>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Exclamation</t>
  </si>
  <si>
    <t>Unown Question</t>
  </si>
  <si>
    <t>Deoxys-Attack</t>
  </si>
  <si>
    <t>Deoxys-Defense</t>
  </si>
  <si>
    <t>Deoxys-Speed</t>
  </si>
  <si>
    <t>Burmy (Sandy)</t>
  </si>
  <si>
    <t>Burmy (Trash)</t>
  </si>
  <si>
    <t>Wormadam-Sandy</t>
  </si>
  <si>
    <t>Wormadam-Trash</t>
  </si>
  <si>
    <t>Shellos (East)</t>
  </si>
  <si>
    <t>Gastrodon (East)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</si>
  <si>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</si>
  <si>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</si>
  <si>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</si>
  <si>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</si>
  <si>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</si>
  <si>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</si>
  <si>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</si>
  <si>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Deerling (Autumn)</t>
  </si>
  <si>
    <t>Deerling (Winter)</t>
  </si>
  <si>
    <t>Sawsbuck (Summer)</t>
  </si>
  <si>
    <t>Sawsbuck (Autumn)</t>
  </si>
  <si>
    <t>Sawsbuck (Winter)</t>
  </si>
  <si>
    <t>Basculin-Blue-Striped</t>
  </si>
  <si>
    <t>Tornadus (Therian)</t>
  </si>
  <si>
    <t>Thundurus (Therian)</t>
  </si>
  <si>
    <t>Landorus (Therian)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</si>
  <si>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</si>
  <si>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</si>
  <si>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</si>
  <si>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</si>
  <si>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</si>
  <si>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</si>
  <si>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</si>
  <si>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</si>
  <si>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Furfrou (Star)</t>
  </si>
  <si>
    <t>Furfrou (Diamond)</t>
  </si>
  <si>
    <t>Furfrou (Debutante)</t>
  </si>
  <si>
    <t>Furfrou (Matron)</t>
  </si>
  <si>
    <t>Furfrou (Dandy)</t>
  </si>
  <si>
    <t>Furfrou (La-Reine)</t>
  </si>
  <si>
    <t>Furfrou (Kabuki)</t>
  </si>
  <si>
    <t>Furfrou (Pharaoh)</t>
  </si>
  <si>
    <t>Flabebe (Yellow)</t>
  </si>
  <si>
    <t>Flabebe (Orange)</t>
  </si>
  <si>
    <t>Flabebe (Blue)</t>
  </si>
  <si>
    <t>Flabebe (White)</t>
  </si>
  <si>
    <t>Floette (Yellow)</t>
  </si>
  <si>
    <t>Floette (Orange)</t>
  </si>
  <si>
    <t>Floette (Blue)</t>
  </si>
  <si>
    <t>Floette (White)</t>
  </si>
  <si>
    <t>Florges (Yellow)</t>
  </si>
  <si>
    <t>Florges (Orange)</t>
  </si>
  <si>
    <t>Florges (Blue)</t>
  </si>
  <si>
    <t>Florges (White)</t>
  </si>
  <si>
    <t>Hoopa-Unbound</t>
  </si>
  <si>
    <t>Greninja-Battle-Bond</t>
  </si>
  <si>
    <t>Zygarde-10</t>
  </si>
  <si>
    <t>Zygarde (Power Construct)</t>
  </si>
  <si>
    <t>Zygarde-10-Power-Construct</t>
  </si>
  <si>
    <t>Vivillon (Polar)</t>
  </si>
  <si>
    <t>Vivillon (Tundra)</t>
  </si>
  <si>
    <t>Vivillon (Continental)</t>
  </si>
  <si>
    <t>Vivillon (Garden)</t>
  </si>
  <si>
    <t>Vivillon (Elegant)</t>
  </si>
  <si>
    <t>Vivillon (Meadow)</t>
  </si>
  <si>
    <t>Vivillon (Modern)</t>
  </si>
  <si>
    <t>Vivillon (Marine)</t>
  </si>
  <si>
    <t>Vivillon (Archipelago)</t>
  </si>
  <si>
    <t>Vivillon (High-Plains)</t>
  </si>
  <si>
    <t>Vivillon (Sandstorm)</t>
  </si>
  <si>
    <t>Vivillon (River)</t>
  </si>
  <si>
    <t>Vivillon (Monsoon)</t>
  </si>
  <si>
    <t>Vivillon (Savanna)</t>
  </si>
  <si>
    <t>Vivillon (Sun)</t>
  </si>
  <si>
    <t>Vivillon (Ocean)</t>
  </si>
  <si>
    <t>Vivillon (Jungle)</t>
  </si>
  <si>
    <t>Vivillon (Fancy)</t>
  </si>
  <si>
    <t>Vivillon (Pokeball)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</si>
  <si>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</si>
  <si>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</si>
  <si>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</si>
  <si>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</si>
  <si>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</si>
  <si>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</si>
  <si>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</si>
  <si>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</si>
  <si>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</si>
  <si>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</si>
  <si>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</si>
  <si>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</si>
  <si>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</si>
  <si>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</si>
  <si>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Polteageist (Antique)</t>
  </si>
  <si>
    <t>Urshifu-Rapid-Strike</t>
  </si>
  <si>
    <t>Zarude-Dada</t>
  </si>
  <si>
    <t>Enamorus (Therian)</t>
  </si>
  <si>
    <t>Alcremie (Alcremie Vanilla Cream Berry)</t>
  </si>
  <si>
    <t>Alcremie (Alcremie Vanilla Cream Love)</t>
  </si>
  <si>
    <t>Alcremie (Alcremie Vanilla Cream Star)</t>
  </si>
  <si>
    <t>Alcremie (Alcremie Vanilla Cream Clover)</t>
  </si>
  <si>
    <t>Alcremie (Alcremie Vanilla Cream Flower)</t>
  </si>
  <si>
    <t>Alcremie (Alcremie Vanilla Cream Ribbon)</t>
  </si>
  <si>
    <t>Alcremie (Alcremie Ruby Cream Strawberry)</t>
  </si>
  <si>
    <t>Alcremie (Alcremie Ruby Cream Berry)</t>
  </si>
  <si>
    <t>Alcremie (Alcremie Ruby Cream Love)</t>
  </si>
  <si>
    <t>Alcremie (Alcremie Ruby Cream Star)</t>
  </si>
  <si>
    <t>Alcremie (Alcremie Ruby Cream Clover)</t>
  </si>
  <si>
    <t>Alcremie (Alcremie Ruby Cream Flower)</t>
  </si>
  <si>
    <t>Alcremie (Alcremie Ruby Cream Ribbon)</t>
  </si>
  <si>
    <t>Alcremie (Alcremie Matcha Cream Strawberry)</t>
  </si>
  <si>
    <t>Alcremie (Alcremie Matcha Cream Berry)</t>
  </si>
  <si>
    <t>Alcremie (Alcremie Matcha Cream Love)</t>
  </si>
  <si>
    <t>Alcremie (Alcremie Matcha Cream Star)</t>
  </si>
  <si>
    <t>Alcremie (Alcremie Matcha Cream Clover)</t>
  </si>
  <si>
    <t>Alcremie (Alcremie Matcha Cream Flower)</t>
  </si>
  <si>
    <t>Alcremie (Alcremie Matcha Cream Ribbon)</t>
  </si>
  <si>
    <t>Alcremie (Alcremie Mint Cream Strawberry)</t>
  </si>
  <si>
    <t>Alcremie (Alcremie Mint Cream Berry)</t>
  </si>
  <si>
    <t>Alcremie (Alcremie Mint Cream Love)</t>
  </si>
  <si>
    <t>Alcremie (Alcremie Mint Cream Star)</t>
  </si>
  <si>
    <t>Alcremie (Alcremie Mint Cream Clover)</t>
  </si>
  <si>
    <t>Alcremie (Alcremie Mint Cream Flower)</t>
  </si>
  <si>
    <t>Alcremie (Alcremie Mint Cream Ribbon)</t>
  </si>
  <si>
    <t>Alcremie (Alcremie Lemon Cream Strawberry)</t>
  </si>
  <si>
    <t>Alcremie (Alcremie Lemon Cream Berry)</t>
  </si>
  <si>
    <t>Alcremie (Alcremie Lemon Cream Love)</t>
  </si>
  <si>
    <t>Alcremie (Alcremie Lemon Cream Star)</t>
  </si>
  <si>
    <t>Alcremie (Alcremie Lemon Cream Clover)</t>
  </si>
  <si>
    <t>Alcremie (Alcremie Lemon Cream Flower)</t>
  </si>
  <si>
    <t>Alcremie (Alcremie Lemon Cream Ribbon)</t>
  </si>
  <si>
    <t>Alcremie (Alcremie Salted Cream Strawberry)</t>
  </si>
  <si>
    <t>Alcremie (Alcremie Salted Cream Berry)</t>
  </si>
  <si>
    <t>Alcremie (Alcremie Salted Cream Love)</t>
  </si>
  <si>
    <t>Alcremie (Alcremie Salted Cream Star)</t>
  </si>
  <si>
    <t>Alcremie (Alcremie Salted Cream Clover)</t>
  </si>
  <si>
    <t>Alcremie (Alcremie Salted Cream Flower)</t>
  </si>
  <si>
    <t>Alcremie (Alcremie Salted Cream Ribbon)</t>
  </si>
  <si>
    <t>Alcremie (Alcremie Ruby Swirl Strawberry)</t>
  </si>
  <si>
    <t>Alcremie (Alcremie Ruby Swirl Berry)</t>
  </si>
  <si>
    <t>Alcremie (Alcremie Ruby Swirl Love)</t>
  </si>
  <si>
    <t>Alcremie (Alcremie Ruby Swirl Star)</t>
  </si>
  <si>
    <t>Alcremie (Alcremie Ruby Swirl Clover)</t>
  </si>
  <si>
    <t>Alcremie (Alcremie Ruby Swirl Flower)</t>
  </si>
  <si>
    <t>Alcremie (Alcremie Ruby Swirl Ribbon)</t>
  </si>
  <si>
    <t>Alcremie (Alcremie Caramel Swirl Strawberry)</t>
  </si>
  <si>
    <t>Alcremie (Alcremie Caramel Swirl Berry)</t>
  </si>
  <si>
    <t>Alcremie (Alcremie Caramel Swirl Love)</t>
  </si>
  <si>
    <t>Alcremie (Alcremie Caramel Swirl Star)</t>
  </si>
  <si>
    <t>Alcremie (Alcremie Caramel Swirl Clover)</t>
  </si>
  <si>
    <t>Alcremie (Alcremie Caramel Swirl Flower)</t>
  </si>
  <si>
    <t>Alcremie (Alcremie Caramel Swirl Ribbon)</t>
  </si>
  <si>
    <t>Alcremie (Alcremie Rainbow Swirl Strawberry)</t>
  </si>
  <si>
    <t>Alcremie (Alcremie Rainbow Swirl Berry)</t>
  </si>
  <si>
    <t>Alcremie (Alcremie Rainbow Swirl Love)</t>
  </si>
  <si>
    <t>Alcremie (Alcremie Rainbow Swirl Star)</t>
  </si>
  <si>
    <t>Alcremie (Alcremie Rainbow Swirl Clover)</t>
  </si>
  <si>
    <t>Alcremie (Alcremie Rainbow Swirl Flower)</t>
  </si>
  <si>
    <t>Alcremie (Alcremie Rainbow Swirl Ribbon)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</si>
  <si>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</si>
  <si>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</si>
  <si>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</si>
  <si>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</si>
  <si>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</si>
  <si>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</si>
  <si>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</si>
  <si>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</si>
  <si>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</si>
  <si>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</si>
  <si>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</si>
  <si>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</si>
  <si>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</si>
  <si>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</si>
  <si>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</si>
  <si>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</si>
  <si>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</si>
  <si>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</si>
  <si>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</si>
  <si>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</si>
  <si>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</si>
  <si>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</si>
  <si>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</si>
  <si>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</si>
  <si>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 (Amped)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</si>
  <si>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</si>
  <si>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</si>
  <si>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</si>
  <si>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</si>
  <si>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</si>
  <si>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</si>
  <si>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</si>
  <si>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</si>
  <si>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</si>
  <si>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</si>
  <si>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</si>
  <si>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</si>
  <si>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</si>
  <si>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</si>
  <si>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</si>
  <si>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</si>
  <si>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</si>
  <si>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</si>
  <si>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</si>
  <si>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</si>
  <si>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</si>
  <si>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</si>
  <si>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</si>
  <si>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</si>
  <si>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</si>
  <si>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</si>
  <si>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</si>
  <si>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Galarian Meowth</t>
  </si>
  <si>
    <t>Galarian Ponyta</t>
  </si>
  <si>
    <t>Galarian Rapidash</t>
  </si>
  <si>
    <t>Galarian Slowpoke</t>
  </si>
  <si>
    <t>Galarian Slowbro</t>
  </si>
  <si>
    <t>Galarian Farfetchd</t>
  </si>
  <si>
    <t>Galarian Weezing</t>
  </si>
  <si>
    <t>Galarian Mr Mime</t>
  </si>
  <si>
    <t>Galarian Articuno</t>
  </si>
  <si>
    <t>Galarian Zapdos</t>
  </si>
  <si>
    <t>Galarian Moltres</t>
  </si>
  <si>
    <t>Galarian Slowking</t>
  </si>
  <si>
    <t>Galarian Corsola</t>
  </si>
  <si>
    <t>Galarian Zigzagoon</t>
  </si>
  <si>
    <t>Galarian Linoone</t>
  </si>
  <si>
    <t>Galarian Darumaka</t>
  </si>
  <si>
    <t>Galarian Darmanitan</t>
  </si>
  <si>
    <t>Galarian Yamask</t>
  </si>
  <si>
    <t>Galarian Stunfisk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</si>
  <si>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</si>
  <si>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</si>
  <si>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</si>
  <si>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</si>
  <si>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</si>
  <si>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</si>
  <si>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</si>
  <si>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Hisuian Samurott</t>
  </si>
  <si>
    <t>Hisuian Lilligant</t>
  </si>
  <si>
    <t>Basculin-White-Striped</t>
  </si>
  <si>
    <t>Hisuian Zorua</t>
  </si>
  <si>
    <t>Hisuian Zoroark</t>
  </si>
  <si>
    <t>Hisuian Braviary</t>
  </si>
  <si>
    <t>Hisuian Sliggoo</t>
  </si>
  <si>
    <t>Hisuian Goodra</t>
  </si>
  <si>
    <t>Hisuian Avalugg</t>
  </si>
  <si>
    <t>Hisuian Decidueye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</si>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</sst>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  <fill>
      <patternFill patternType="solid">
        <fgColor rgb="FFFAD70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27</v>
      </c>
      <c r="B2" s="1">
        <v>1</v>
      </c>
      <c r="C2" s="1" t="s">
        <v>28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27</v>
      </c>
      <c r="B3" s="1">
        <v>2</v>
      </c>
      <c r="C3" s="1" t="s">
        <v>29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27</v>
      </c>
      <c r="B4" s="1">
        <v>3</v>
      </c>
      <c r="C4" s="1" t="s">
        <v>30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27</v>
      </c>
      <c r="B5" s="1">
        <v>4</v>
      </c>
      <c r="C5" s="1" t="s">
        <v>31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27</v>
      </c>
      <c r="B6" s="1">
        <v>5</v>
      </c>
      <c r="C6" s="1" t="s">
        <v>32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27</v>
      </c>
      <c r="B7" s="1">
        <v>6</v>
      </c>
      <c r="C7" s="1" t="s">
        <v>33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27</v>
      </c>
      <c r="B8" s="1">
        <v>7</v>
      </c>
      <c r="C8" s="1" t="s">
        <v>34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27</v>
      </c>
      <c r="B9" s="1">
        <v>8</v>
      </c>
      <c r="C9" s="1" t="s">
        <v>35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27</v>
      </c>
      <c r="B10" s="1">
        <v>9</v>
      </c>
      <c r="C10" s="1" t="s">
        <v>36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27</v>
      </c>
      <c r="B11" s="1">
        <v>10</v>
      </c>
      <c r="C11" s="1" t="s">
        <v>37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27</v>
      </c>
      <c r="B12" s="1">
        <v>11</v>
      </c>
      <c r="C12" s="1" t="s">
        <v>38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27</v>
      </c>
      <c r="B13" s="1">
        <v>12</v>
      </c>
      <c r="C13" s="1" t="s">
        <v>39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27</v>
      </c>
      <c r="B14" s="1">
        <v>13</v>
      </c>
      <c r="C14" s="1" t="s">
        <v>40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27</v>
      </c>
      <c r="B15" s="1">
        <v>14</v>
      </c>
      <c r="C15" s="1" t="s">
        <v>41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27</v>
      </c>
      <c r="B16" s="1">
        <v>15</v>
      </c>
      <c r="C16" s="1" t="s">
        <v>42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27</v>
      </c>
      <c r="B17" s="1">
        <v>16</v>
      </c>
      <c r="C17" s="1" t="s">
        <v>43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27</v>
      </c>
      <c r="B18" s="1">
        <v>17</v>
      </c>
      <c r="C18" s="1" t="s">
        <v>44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27</v>
      </c>
      <c r="B19" s="1">
        <v>18</v>
      </c>
      <c r="C19" s="1" t="s">
        <v>45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27</v>
      </c>
      <c r="B20" s="1">
        <v>19</v>
      </c>
      <c r="C20" s="1" t="s">
        <v>46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27</v>
      </c>
      <c r="B21" s="1">
        <v>20</v>
      </c>
      <c r="C21" s="1" t="s">
        <v>47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27</v>
      </c>
      <c r="B22" s="1">
        <v>21</v>
      </c>
      <c r="C22" s="1" t="s">
        <v>48</v>
      </c>
      <c r="D22">
        <f>IMAGE("https://raw.githubusercontent.com/stautonico/pokemon-home-pokedex/main/sprites/spearow.png", 2)</f>
        <v>0</v>
      </c>
      <c r="E22" s="2" t="s">
        <v>9</v>
      </c>
      <c r="F22" s="5"/>
      <c r="I22" s="23" t="s">
        <v>26</v>
      </c>
      <c r="J22" s="23"/>
      <c r="K22" s="23"/>
    </row>
    <row r="23" spans="1:11" ht="72" customHeight="1">
      <c r="A23" s="1" t="s">
        <v>27</v>
      </c>
      <c r="B23" s="1">
        <v>22</v>
      </c>
      <c r="C23" s="1" t="s">
        <v>49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27</v>
      </c>
      <c r="B24" s="1">
        <v>23</v>
      </c>
      <c r="C24" s="1" t="s">
        <v>50</v>
      </c>
      <c r="D24">
        <f>IMAGE("https://raw.githubusercontent.com/stautonico/pokemon-home-pokedex/main/sprites/ekans.png", 2)</f>
        <v>0</v>
      </c>
      <c r="E24" s="24" t="s">
        <v>16</v>
      </c>
      <c r="F24" s="25" t="s">
        <v>11</v>
      </c>
    </row>
    <row r="25" spans="1:11" ht="72" customHeight="1">
      <c r="A25" s="1" t="s">
        <v>27</v>
      </c>
      <c r="B25" s="1">
        <v>24</v>
      </c>
      <c r="C25" s="1" t="s">
        <v>51</v>
      </c>
      <c r="D25">
        <f>IMAGE("https://raw.githubusercontent.com/stautonico/pokemon-home-pokedex/main/sprites/arbok.png", 2)</f>
        <v>0</v>
      </c>
      <c r="E25" s="24" t="s">
        <v>16</v>
      </c>
      <c r="F25" s="25" t="s">
        <v>11</v>
      </c>
    </row>
    <row r="26" spans="1:11" ht="72" customHeight="1">
      <c r="A26" s="1" t="s">
        <v>27</v>
      </c>
      <c r="B26" s="1">
        <v>25</v>
      </c>
      <c r="C26" s="1" t="s">
        <v>52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27</v>
      </c>
      <c r="B27" s="1">
        <v>26</v>
      </c>
      <c r="C27" s="1" t="s">
        <v>53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27</v>
      </c>
      <c r="B28" s="1">
        <v>27</v>
      </c>
      <c r="C28" s="1" t="s">
        <v>54</v>
      </c>
      <c r="D28">
        <f>IMAGE("https://raw.githubusercontent.com/stautonico/pokemon-home-pokedex/main/sprites/sandshrew.png", 2)</f>
        <v>0</v>
      </c>
      <c r="E28" s="3" t="s">
        <v>12</v>
      </c>
      <c r="F28" s="26" t="s">
        <v>10</v>
      </c>
    </row>
    <row r="29" spans="1:11" ht="72" customHeight="1">
      <c r="A29" s="1" t="s">
        <v>27</v>
      </c>
      <c r="B29" s="1">
        <v>28</v>
      </c>
      <c r="C29" s="1" t="s">
        <v>55</v>
      </c>
      <c r="D29">
        <f>IMAGE("https://raw.githubusercontent.com/stautonico/pokemon-home-pokedex/main/sprites/sandslash.png", 2)</f>
        <v>0</v>
      </c>
      <c r="E29" s="3" t="s">
        <v>12</v>
      </c>
      <c r="F29" s="26" t="s">
        <v>10</v>
      </c>
    </row>
    <row r="30" spans="1:11" ht="72" customHeight="1">
      <c r="A30" s="1" t="s">
        <v>27</v>
      </c>
      <c r="B30" s="1">
        <v>29</v>
      </c>
      <c r="C30" s="1" t="s">
        <v>56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27</v>
      </c>
      <c r="B31" s="1">
        <v>30</v>
      </c>
      <c r="C31" s="1" t="s">
        <v>57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27</v>
      </c>
      <c r="B32" s="1">
        <v>31</v>
      </c>
      <c r="C32" s="1" t="s">
        <v>58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27</v>
      </c>
      <c r="B33" s="1">
        <v>32</v>
      </c>
      <c r="C33" s="1" t="s">
        <v>59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27</v>
      </c>
      <c r="B34" s="1">
        <v>33</v>
      </c>
      <c r="C34" s="1" t="s">
        <v>60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27</v>
      </c>
      <c r="B35" s="1">
        <v>34</v>
      </c>
      <c r="C35" s="1" t="s">
        <v>61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27</v>
      </c>
      <c r="B36" s="1">
        <v>35</v>
      </c>
      <c r="C36" s="1" t="s">
        <v>62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27</v>
      </c>
      <c r="B37" s="1">
        <v>36</v>
      </c>
      <c r="C37" s="1" t="s">
        <v>63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27</v>
      </c>
      <c r="B38" s="1">
        <v>37</v>
      </c>
      <c r="C38" s="1" t="s">
        <v>64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27</v>
      </c>
      <c r="B39" s="1">
        <v>38</v>
      </c>
      <c r="C39" s="1" t="s">
        <v>65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27</v>
      </c>
      <c r="B40" s="1">
        <v>39</v>
      </c>
      <c r="C40" s="1" t="s">
        <v>66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27</v>
      </c>
      <c r="B41" s="1">
        <v>40</v>
      </c>
      <c r="C41" s="1" t="s">
        <v>67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27</v>
      </c>
      <c r="B42" s="1">
        <v>41</v>
      </c>
      <c r="C42" s="1" t="s">
        <v>68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27</v>
      </c>
      <c r="B43" s="1">
        <v>42</v>
      </c>
      <c r="C43" s="1" t="s">
        <v>69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27</v>
      </c>
      <c r="B44" s="1">
        <v>43</v>
      </c>
      <c r="C44" s="1" t="s">
        <v>70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27</v>
      </c>
      <c r="B45" s="1">
        <v>44</v>
      </c>
      <c r="C45" s="1" t="s">
        <v>71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27</v>
      </c>
      <c r="B46" s="1">
        <v>45</v>
      </c>
      <c r="C46" s="1" t="s">
        <v>72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27</v>
      </c>
      <c r="B47" s="1">
        <v>46</v>
      </c>
      <c r="C47" s="1" t="s">
        <v>73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27</v>
      </c>
      <c r="B48" s="1">
        <v>47</v>
      </c>
      <c r="C48" s="1" t="s">
        <v>74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27</v>
      </c>
      <c r="B49" s="1">
        <v>48</v>
      </c>
      <c r="C49" s="1" t="s">
        <v>75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27</v>
      </c>
      <c r="B50" s="1">
        <v>49</v>
      </c>
      <c r="C50" s="1" t="s">
        <v>76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27</v>
      </c>
      <c r="B51" s="1">
        <v>50</v>
      </c>
      <c r="C51" s="1" t="s">
        <v>77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27</v>
      </c>
      <c r="B52" s="1">
        <v>51</v>
      </c>
      <c r="C52" s="1" t="s">
        <v>78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27</v>
      </c>
      <c r="B53" s="1">
        <v>52</v>
      </c>
      <c r="C53" s="1" t="s">
        <v>79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27</v>
      </c>
      <c r="B54" s="1">
        <v>53</v>
      </c>
      <c r="C54" s="1" t="s">
        <v>80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27</v>
      </c>
      <c r="B55" s="1">
        <v>54</v>
      </c>
      <c r="C55" s="1" t="s">
        <v>81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27</v>
      </c>
      <c r="B56" s="1">
        <v>55</v>
      </c>
      <c r="C56" s="1" t="s">
        <v>82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27</v>
      </c>
      <c r="B57" s="1">
        <v>56</v>
      </c>
      <c r="C57" s="1" t="s">
        <v>83</v>
      </c>
      <c r="D57">
        <f>IMAGE("https://raw.githubusercontent.com/stautonico/pokemon-home-pokedex/main/sprites/mankey.png", 2)</f>
        <v>0</v>
      </c>
      <c r="E57" s="27" t="s">
        <v>17</v>
      </c>
      <c r="F57" s="26" t="s">
        <v>10</v>
      </c>
    </row>
    <row r="58" spans="1:6" ht="72" customHeight="1">
      <c r="A58" s="1" t="s">
        <v>27</v>
      </c>
      <c r="B58" s="1">
        <v>57</v>
      </c>
      <c r="C58" s="1" t="s">
        <v>84</v>
      </c>
      <c r="D58">
        <f>IMAGE("https://raw.githubusercontent.com/stautonico/pokemon-home-pokedex/main/sprites/primeape.png", 2)</f>
        <v>0</v>
      </c>
      <c r="E58" s="27" t="s">
        <v>17</v>
      </c>
      <c r="F58" s="26" t="s">
        <v>10</v>
      </c>
    </row>
    <row r="59" spans="1:6" ht="72" customHeight="1">
      <c r="A59" s="1" t="s">
        <v>27</v>
      </c>
      <c r="B59" s="1">
        <v>58</v>
      </c>
      <c r="C59" s="1" t="s">
        <v>85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27</v>
      </c>
      <c r="B60" s="1">
        <v>59</v>
      </c>
      <c r="C60" s="1" t="s">
        <v>86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27</v>
      </c>
      <c r="B61" s="1">
        <v>60</v>
      </c>
      <c r="C61" s="1" t="s">
        <v>87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27</v>
      </c>
      <c r="B62" s="1">
        <v>61</v>
      </c>
      <c r="C62" s="1" t="s">
        <v>88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27</v>
      </c>
      <c r="B63" s="1">
        <v>62</v>
      </c>
      <c r="C63" s="1" t="s">
        <v>89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27</v>
      </c>
      <c r="B64" s="1">
        <v>63</v>
      </c>
      <c r="C64" s="1" t="s">
        <v>90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27</v>
      </c>
      <c r="B65" s="1">
        <v>64</v>
      </c>
      <c r="C65" s="1" t="s">
        <v>91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27</v>
      </c>
      <c r="B66" s="1">
        <v>65</v>
      </c>
      <c r="C66" s="1" t="s">
        <v>92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27</v>
      </c>
      <c r="B67" s="1">
        <v>66</v>
      </c>
      <c r="C67" s="1" t="s">
        <v>93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27</v>
      </c>
      <c r="B68" s="1">
        <v>67</v>
      </c>
      <c r="C68" s="1" t="s">
        <v>94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27</v>
      </c>
      <c r="B69" s="1">
        <v>68</v>
      </c>
      <c r="C69" s="1" t="s">
        <v>95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27</v>
      </c>
      <c r="B70" s="1">
        <v>69</v>
      </c>
      <c r="C70" s="1" t="s">
        <v>96</v>
      </c>
      <c r="D70">
        <f>IMAGE("https://raw.githubusercontent.com/stautonico/pokemon-home-pokedex/main/sprites/bellsprout.png", 2)</f>
        <v>0</v>
      </c>
      <c r="E70" s="24" t="s">
        <v>16</v>
      </c>
      <c r="F70" s="25" t="s">
        <v>11</v>
      </c>
    </row>
    <row r="71" spans="1:6" ht="72" customHeight="1">
      <c r="A71" s="1" t="s">
        <v>27</v>
      </c>
      <c r="B71" s="1">
        <v>70</v>
      </c>
      <c r="C71" s="1" t="s">
        <v>97</v>
      </c>
      <c r="D71">
        <f>IMAGE("https://raw.githubusercontent.com/stautonico/pokemon-home-pokedex/main/sprites/weepinbell.png", 2)</f>
        <v>0</v>
      </c>
      <c r="E71" s="24" t="s">
        <v>16</v>
      </c>
      <c r="F71" s="25" t="s">
        <v>11</v>
      </c>
    </row>
    <row r="72" spans="1:6" ht="72" customHeight="1">
      <c r="A72" s="1" t="s">
        <v>27</v>
      </c>
      <c r="B72" s="1">
        <v>71</v>
      </c>
      <c r="C72" s="1" t="s">
        <v>98</v>
      </c>
      <c r="D72">
        <f>IMAGE("https://raw.githubusercontent.com/stautonico/pokemon-home-pokedex/main/sprites/victreebel.png", 2)</f>
        <v>0</v>
      </c>
      <c r="E72" s="24" t="s">
        <v>16</v>
      </c>
      <c r="F72" s="25" t="s">
        <v>11</v>
      </c>
    </row>
    <row r="73" spans="1:6" ht="72" customHeight="1">
      <c r="A73" s="1" t="s">
        <v>27</v>
      </c>
      <c r="B73" s="1">
        <v>72</v>
      </c>
      <c r="C73" s="1" t="s">
        <v>99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27</v>
      </c>
      <c r="B74" s="1">
        <v>73</v>
      </c>
      <c r="C74" s="1" t="s">
        <v>100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27</v>
      </c>
      <c r="B75" s="1">
        <v>74</v>
      </c>
      <c r="C75" s="1" t="s">
        <v>101</v>
      </c>
      <c r="D75">
        <f>IMAGE("https://raw.githubusercontent.com/stautonico/pokemon-home-pokedex/main/sprites/geodude.png", 2)</f>
        <v>0</v>
      </c>
      <c r="E75" s="27" t="s">
        <v>17</v>
      </c>
      <c r="F75" s="5"/>
    </row>
    <row r="76" spans="1:6" ht="72" customHeight="1">
      <c r="A76" s="1" t="s">
        <v>27</v>
      </c>
      <c r="B76" s="1">
        <v>75</v>
      </c>
      <c r="C76" s="1" t="s">
        <v>102</v>
      </c>
      <c r="D76">
        <f>IMAGE("https://raw.githubusercontent.com/stautonico/pokemon-home-pokedex/main/sprites/graveler.png", 2)</f>
        <v>0</v>
      </c>
      <c r="E76" s="27" t="s">
        <v>17</v>
      </c>
      <c r="F76" s="5"/>
    </row>
    <row r="77" spans="1:6" ht="72" customHeight="1">
      <c r="A77" s="1" t="s">
        <v>27</v>
      </c>
      <c r="B77" s="1">
        <v>76</v>
      </c>
      <c r="C77" s="1" t="s">
        <v>103</v>
      </c>
      <c r="D77">
        <f>IMAGE("https://raw.githubusercontent.com/stautonico/pokemon-home-pokedex/main/sprites/golem.png", 2)</f>
        <v>0</v>
      </c>
      <c r="E77" s="27" t="s">
        <v>17</v>
      </c>
      <c r="F77" s="5"/>
    </row>
    <row r="78" spans="1:6" ht="72" customHeight="1">
      <c r="A78" s="1" t="s">
        <v>27</v>
      </c>
      <c r="B78" s="1">
        <v>77</v>
      </c>
      <c r="C78" s="1" t="s">
        <v>104</v>
      </c>
      <c r="D78">
        <f>IMAGE("https://raw.githubusercontent.com/stautonico/pokemon-home-pokedex/main/sprites/ponyta.png", 2)</f>
        <v>0</v>
      </c>
      <c r="E78" s="28" t="s">
        <v>15</v>
      </c>
      <c r="F78" s="29" t="s">
        <v>21</v>
      </c>
    </row>
    <row r="79" spans="1:6" ht="72" customHeight="1">
      <c r="A79" s="1" t="s">
        <v>27</v>
      </c>
      <c r="B79" s="1">
        <v>78</v>
      </c>
      <c r="C79" s="1" t="s">
        <v>105</v>
      </c>
      <c r="D79">
        <f>IMAGE("https://raw.githubusercontent.com/stautonico/pokemon-home-pokedex/main/sprites/rapidash.png", 2)</f>
        <v>0</v>
      </c>
      <c r="E79" s="28" t="s">
        <v>15</v>
      </c>
      <c r="F79" s="29" t="s">
        <v>21</v>
      </c>
    </row>
    <row r="80" spans="1:6" ht="72" customHeight="1">
      <c r="A80" s="1" t="s">
        <v>27</v>
      </c>
      <c r="B80" s="1">
        <v>79</v>
      </c>
      <c r="C80" s="1" t="s">
        <v>106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27</v>
      </c>
      <c r="B81" s="1">
        <v>80</v>
      </c>
      <c r="C81" s="1" t="s">
        <v>107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27</v>
      </c>
      <c r="B82" s="1">
        <v>81</v>
      </c>
      <c r="C82" s="1" t="s">
        <v>108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27</v>
      </c>
      <c r="B83" s="1">
        <v>82</v>
      </c>
      <c r="C83" s="1" t="s">
        <v>109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27</v>
      </c>
      <c r="B84" s="1">
        <v>83</v>
      </c>
      <c r="C84" s="1" t="s">
        <v>110</v>
      </c>
      <c r="D84">
        <f>IMAGE("https://raw.githubusercontent.com/stautonico/pokemon-home-pokedex/main/sprites/farfetchd.png", 2)</f>
        <v>0</v>
      </c>
      <c r="E84" s="30" t="s">
        <v>14</v>
      </c>
      <c r="F84" s="24" t="s">
        <v>16</v>
      </c>
    </row>
    <row r="85" spans="1:6" ht="72" customHeight="1">
      <c r="A85" s="1" t="s">
        <v>27</v>
      </c>
      <c r="B85" s="1">
        <v>84</v>
      </c>
      <c r="C85" s="1" t="s">
        <v>111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27</v>
      </c>
      <c r="B86" s="1">
        <v>85</v>
      </c>
      <c r="C86" s="1" t="s">
        <v>112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27</v>
      </c>
      <c r="B87" s="1">
        <v>86</v>
      </c>
      <c r="C87" s="1" t="s">
        <v>113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27</v>
      </c>
      <c r="B88" s="1">
        <v>87</v>
      </c>
      <c r="C88" s="1" t="s">
        <v>114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27</v>
      </c>
      <c r="B89" s="1">
        <v>88</v>
      </c>
      <c r="C89" s="1" t="s">
        <v>115</v>
      </c>
      <c r="D89">
        <f>IMAGE("https://raw.githubusercontent.com/stautonico/pokemon-home-pokedex/main/sprites/grimer.png", 2)</f>
        <v>0</v>
      </c>
      <c r="E89" s="27" t="s">
        <v>17</v>
      </c>
      <c r="F89" s="26" t="s">
        <v>10</v>
      </c>
    </row>
    <row r="90" spans="1:6" ht="72" customHeight="1">
      <c r="A90" s="1" t="s">
        <v>27</v>
      </c>
      <c r="B90" s="1">
        <v>89</v>
      </c>
      <c r="C90" s="1" t="s">
        <v>116</v>
      </c>
      <c r="D90">
        <f>IMAGE("https://raw.githubusercontent.com/stautonico/pokemon-home-pokedex/main/sprites/muk.png", 2)</f>
        <v>0</v>
      </c>
      <c r="E90" s="27" t="s">
        <v>17</v>
      </c>
      <c r="F90" s="26" t="s">
        <v>10</v>
      </c>
    </row>
    <row r="91" spans="1:6" ht="72" customHeight="1">
      <c r="A91" s="1" t="s">
        <v>27</v>
      </c>
      <c r="B91" s="1">
        <v>90</v>
      </c>
      <c r="C91" s="1" t="s">
        <v>117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27</v>
      </c>
      <c r="B92" s="1">
        <v>91</v>
      </c>
      <c r="C92" s="1" t="s">
        <v>118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27</v>
      </c>
      <c r="B93" s="1">
        <v>92</v>
      </c>
      <c r="C93" s="1" t="s">
        <v>119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27</v>
      </c>
      <c r="B94" s="1">
        <v>93</v>
      </c>
      <c r="C94" s="1" t="s">
        <v>120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27</v>
      </c>
      <c r="B95" s="1">
        <v>94</v>
      </c>
      <c r="C95" s="1" t="s">
        <v>121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27</v>
      </c>
      <c r="B96" s="1">
        <v>95</v>
      </c>
      <c r="C96" s="1" t="s">
        <v>122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27</v>
      </c>
      <c r="B97" s="1">
        <v>96</v>
      </c>
      <c r="C97" s="1" t="s">
        <v>123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27</v>
      </c>
      <c r="B98" s="1">
        <v>97</v>
      </c>
      <c r="C98" s="1" t="s">
        <v>124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27</v>
      </c>
      <c r="B99" s="1">
        <v>98</v>
      </c>
      <c r="C99" s="1" t="s">
        <v>125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27</v>
      </c>
      <c r="B100" s="1">
        <v>99</v>
      </c>
      <c r="C100" s="1" t="s">
        <v>126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27</v>
      </c>
      <c r="B101" s="1">
        <v>100</v>
      </c>
      <c r="C101" s="1" t="s">
        <v>127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27</v>
      </c>
      <c r="B102" s="1">
        <v>101</v>
      </c>
      <c r="C102" s="1" t="s">
        <v>128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27</v>
      </c>
      <c r="B103" s="1">
        <v>102</v>
      </c>
      <c r="C103" s="1" t="s">
        <v>129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27</v>
      </c>
      <c r="B104" s="1">
        <v>103</v>
      </c>
      <c r="C104" s="1" t="s">
        <v>130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27</v>
      </c>
      <c r="B105" s="1">
        <v>104</v>
      </c>
      <c r="C105" s="1" t="s">
        <v>131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27</v>
      </c>
      <c r="B106" s="1">
        <v>105</v>
      </c>
      <c r="C106" s="1" t="s">
        <v>132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27</v>
      </c>
      <c r="B107" s="1">
        <v>106</v>
      </c>
      <c r="C107" s="1" t="s">
        <v>133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27</v>
      </c>
      <c r="B108" s="1">
        <v>107</v>
      </c>
      <c r="C108" s="1" t="s">
        <v>134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27</v>
      </c>
      <c r="B109" s="1">
        <v>108</v>
      </c>
      <c r="C109" s="1" t="s">
        <v>135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27</v>
      </c>
      <c r="B110" s="1">
        <v>109</v>
      </c>
      <c r="C110" s="1" t="s">
        <v>136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27</v>
      </c>
      <c r="B111" s="1">
        <v>110</v>
      </c>
      <c r="C111" s="1" t="s">
        <v>137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27</v>
      </c>
      <c r="B112" s="1">
        <v>111</v>
      </c>
      <c r="C112" s="1" t="s">
        <v>138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27</v>
      </c>
      <c r="B113" s="1">
        <v>112</v>
      </c>
      <c r="C113" s="1" t="s">
        <v>139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27</v>
      </c>
      <c r="B114" s="1">
        <v>113</v>
      </c>
      <c r="C114" s="1" t="s">
        <v>140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27</v>
      </c>
      <c r="B115" s="1">
        <v>114</v>
      </c>
      <c r="C115" s="1" t="s">
        <v>141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27</v>
      </c>
      <c r="B116" s="1">
        <v>115</v>
      </c>
      <c r="C116" s="1" t="s">
        <v>142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27</v>
      </c>
      <c r="B117" s="1">
        <v>116</v>
      </c>
      <c r="C117" s="1" t="s">
        <v>143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27</v>
      </c>
      <c r="B118" s="1">
        <v>117</v>
      </c>
      <c r="C118" s="1" t="s">
        <v>144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27</v>
      </c>
      <c r="B119" s="1">
        <v>118</v>
      </c>
      <c r="C119" s="1" t="s">
        <v>145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27</v>
      </c>
      <c r="B120" s="1">
        <v>119</v>
      </c>
      <c r="C120" s="1" t="s">
        <v>146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27</v>
      </c>
      <c r="B121" s="1">
        <v>120</v>
      </c>
      <c r="C121" s="1" t="s">
        <v>147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27</v>
      </c>
      <c r="B122" s="1">
        <v>121</v>
      </c>
      <c r="C122" s="1" t="s">
        <v>148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27</v>
      </c>
      <c r="B123" s="1">
        <v>122</v>
      </c>
      <c r="C123" s="1" t="s">
        <v>149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27</v>
      </c>
      <c r="B124" s="1">
        <v>123</v>
      </c>
      <c r="C124" s="1" t="s">
        <v>150</v>
      </c>
      <c r="D124">
        <f>IMAGE("https://raw.githubusercontent.com/stautonico/pokemon-home-pokedex/main/sprites/scyther.png", 2)</f>
        <v>0</v>
      </c>
      <c r="E124" s="3" t="s">
        <v>12</v>
      </c>
      <c r="F124" s="26" t="s">
        <v>10</v>
      </c>
    </row>
    <row r="125" spans="1:6" ht="72" customHeight="1">
      <c r="A125" s="1" t="s">
        <v>27</v>
      </c>
      <c r="B125" s="1">
        <v>124</v>
      </c>
      <c r="C125" s="1" t="s">
        <v>151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27</v>
      </c>
      <c r="B126" s="1">
        <v>125</v>
      </c>
      <c r="C126" s="1" t="s">
        <v>152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27</v>
      </c>
      <c r="B127" s="1">
        <v>126</v>
      </c>
      <c r="C127" s="1" t="s">
        <v>153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27</v>
      </c>
      <c r="B128" s="1">
        <v>127</v>
      </c>
      <c r="C128" s="1" t="s">
        <v>154</v>
      </c>
      <c r="D128">
        <f>IMAGE("https://raw.githubusercontent.com/stautonico/pokemon-home-pokedex/main/sprites/pinsir.png", 2)</f>
        <v>0</v>
      </c>
      <c r="E128" s="30" t="s">
        <v>14</v>
      </c>
      <c r="F128" s="25" t="s">
        <v>11</v>
      </c>
    </row>
    <row r="129" spans="1:6" ht="72" customHeight="1">
      <c r="A129" s="1" t="s">
        <v>27</v>
      </c>
      <c r="B129" s="1">
        <v>128</v>
      </c>
      <c r="C129" s="1" t="s">
        <v>155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27</v>
      </c>
      <c r="B130" s="1">
        <v>129</v>
      </c>
      <c r="C130" s="1" t="s">
        <v>156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27</v>
      </c>
      <c r="B131" s="1">
        <v>130</v>
      </c>
      <c r="C131" s="1" t="s">
        <v>157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27</v>
      </c>
      <c r="B132" s="1">
        <v>131</v>
      </c>
      <c r="C132" s="1" t="s">
        <v>158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27</v>
      </c>
      <c r="B133" s="1">
        <v>132</v>
      </c>
      <c r="C133" s="1" t="s">
        <v>159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27</v>
      </c>
      <c r="B134" s="1">
        <v>133</v>
      </c>
      <c r="C134" s="1" t="s">
        <v>160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27</v>
      </c>
      <c r="B135" s="1">
        <v>134</v>
      </c>
      <c r="C135" s="1" t="s">
        <v>161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27</v>
      </c>
      <c r="B136" s="1">
        <v>135</v>
      </c>
      <c r="C136" s="1" t="s">
        <v>162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27</v>
      </c>
      <c r="B137" s="1">
        <v>136</v>
      </c>
      <c r="C137" s="1" t="s">
        <v>163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27</v>
      </c>
      <c r="B138" s="1">
        <v>137</v>
      </c>
      <c r="C138" s="1" t="s">
        <v>164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27</v>
      </c>
      <c r="B139" s="1">
        <v>138</v>
      </c>
      <c r="C139" s="1" t="s">
        <v>165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27</v>
      </c>
      <c r="B140" s="1">
        <v>139</v>
      </c>
      <c r="C140" s="1" t="s">
        <v>166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27</v>
      </c>
      <c r="B141" s="1">
        <v>140</v>
      </c>
      <c r="C141" s="1" t="s">
        <v>167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27</v>
      </c>
      <c r="B142" s="1">
        <v>141</v>
      </c>
      <c r="C142" s="1" t="s">
        <v>168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27</v>
      </c>
      <c r="B143" s="1">
        <v>142</v>
      </c>
      <c r="C143" s="1" t="s">
        <v>169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27</v>
      </c>
      <c r="B144" s="1">
        <v>143</v>
      </c>
      <c r="C144" s="1" t="s">
        <v>170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27</v>
      </c>
      <c r="B145" s="1">
        <v>144</v>
      </c>
      <c r="C145" s="1" t="s">
        <v>171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27</v>
      </c>
      <c r="B146" s="1">
        <v>145</v>
      </c>
      <c r="C146" s="1" t="s">
        <v>172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27</v>
      </c>
      <c r="B147" s="1">
        <v>146</v>
      </c>
      <c r="C147" s="1" t="s">
        <v>173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27</v>
      </c>
      <c r="B148" s="1">
        <v>147</v>
      </c>
      <c r="C148" s="1" t="s">
        <v>174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27</v>
      </c>
      <c r="B149" s="1">
        <v>148</v>
      </c>
      <c r="C149" s="1" t="s">
        <v>175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27</v>
      </c>
      <c r="B150" s="1">
        <v>149</v>
      </c>
      <c r="C150" s="1" t="s">
        <v>176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27</v>
      </c>
      <c r="B151" s="1">
        <v>150</v>
      </c>
      <c r="C151" s="1" t="s">
        <v>177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27</v>
      </c>
      <c r="B152" s="1">
        <v>151</v>
      </c>
      <c r="C152" s="1" t="s">
        <v>178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27</v>
      </c>
      <c r="B153" s="1">
        <v>152</v>
      </c>
      <c r="C153" s="1" t="s">
        <v>179</v>
      </c>
      <c r="D153">
        <f>IMAGE("https://raw.githubusercontent.com/stautonico/pokemon-home-pokedex/main/sprites/chikorita.png", 2)</f>
        <v>0</v>
      </c>
      <c r="E153" s="31" t="s">
        <v>18</v>
      </c>
      <c r="F153" s="29" t="s">
        <v>21</v>
      </c>
    </row>
    <row r="154" spans="1:6" ht="72" customHeight="1">
      <c r="A154" s="1" t="s">
        <v>27</v>
      </c>
      <c r="B154" s="1">
        <v>153</v>
      </c>
      <c r="C154" s="1" t="s">
        <v>180</v>
      </c>
      <c r="D154">
        <f>IMAGE("https://raw.githubusercontent.com/stautonico/pokemon-home-pokedex/main/sprites/bayleef.png", 2)</f>
        <v>0</v>
      </c>
      <c r="E154" s="31" t="s">
        <v>18</v>
      </c>
      <c r="F154" s="29" t="s">
        <v>21</v>
      </c>
    </row>
    <row r="155" spans="1:6" ht="72" customHeight="1">
      <c r="A155" s="1" t="s">
        <v>27</v>
      </c>
      <c r="B155" s="1">
        <v>154</v>
      </c>
      <c r="C155" s="1" t="s">
        <v>181</v>
      </c>
      <c r="D155">
        <f>IMAGE("https://raw.githubusercontent.com/stautonico/pokemon-home-pokedex/main/sprites/meganium.png", 2)</f>
        <v>0</v>
      </c>
      <c r="E155" s="31" t="s">
        <v>18</v>
      </c>
      <c r="F155" s="29" t="s">
        <v>21</v>
      </c>
    </row>
    <row r="156" spans="1:6" ht="72" customHeight="1">
      <c r="A156" s="1" t="s">
        <v>27</v>
      </c>
      <c r="B156" s="1">
        <v>155</v>
      </c>
      <c r="C156" s="1" t="s">
        <v>182</v>
      </c>
      <c r="D156">
        <f>IMAGE("https://raw.githubusercontent.com/stautonico/pokemon-home-pokedex/main/sprites/cyndaquil.png", 2)</f>
        <v>0</v>
      </c>
      <c r="E156" s="31" t="s">
        <v>18</v>
      </c>
      <c r="F156" s="29" t="s">
        <v>21</v>
      </c>
    </row>
    <row r="157" spans="1:6" ht="72" customHeight="1">
      <c r="A157" s="1" t="s">
        <v>27</v>
      </c>
      <c r="B157" s="1">
        <v>156</v>
      </c>
      <c r="C157" s="1" t="s">
        <v>183</v>
      </c>
      <c r="D157">
        <f>IMAGE("https://raw.githubusercontent.com/stautonico/pokemon-home-pokedex/main/sprites/quilava.png", 2)</f>
        <v>0</v>
      </c>
      <c r="E157" s="31" t="s">
        <v>18</v>
      </c>
      <c r="F157" s="29" t="s">
        <v>21</v>
      </c>
    </row>
    <row r="158" spans="1:6" ht="72" customHeight="1">
      <c r="A158" s="1" t="s">
        <v>27</v>
      </c>
      <c r="B158" s="1">
        <v>157</v>
      </c>
      <c r="C158" s="1" t="s">
        <v>184</v>
      </c>
      <c r="D158">
        <f>IMAGE("https://raw.githubusercontent.com/stautonico/pokemon-home-pokedex/main/sprites/typhlosion.png", 2)</f>
        <v>0</v>
      </c>
      <c r="E158" s="31" t="s">
        <v>18</v>
      </c>
      <c r="F158" s="29" t="s">
        <v>21</v>
      </c>
    </row>
    <row r="159" spans="1:6" ht="72" customHeight="1">
      <c r="A159" s="1" t="s">
        <v>27</v>
      </c>
      <c r="B159" s="1">
        <v>158</v>
      </c>
      <c r="C159" s="1" t="s">
        <v>185</v>
      </c>
      <c r="D159">
        <f>IMAGE("https://raw.githubusercontent.com/stautonico/pokemon-home-pokedex/main/sprites/totodile.png", 2)</f>
        <v>0</v>
      </c>
      <c r="E159" s="31" t="s">
        <v>18</v>
      </c>
      <c r="F159" s="29" t="s">
        <v>21</v>
      </c>
    </row>
    <row r="160" spans="1:6" ht="72" customHeight="1">
      <c r="A160" s="1" t="s">
        <v>27</v>
      </c>
      <c r="B160" s="1">
        <v>159</v>
      </c>
      <c r="C160" s="1" t="s">
        <v>186</v>
      </c>
      <c r="D160">
        <f>IMAGE("https://raw.githubusercontent.com/stautonico/pokemon-home-pokedex/main/sprites/croconaw.png", 2)</f>
        <v>0</v>
      </c>
      <c r="E160" s="31" t="s">
        <v>18</v>
      </c>
      <c r="F160" s="29" t="s">
        <v>21</v>
      </c>
    </row>
    <row r="161" spans="1:6" ht="72" customHeight="1">
      <c r="A161" s="1" t="s">
        <v>27</v>
      </c>
      <c r="B161" s="1">
        <v>160</v>
      </c>
      <c r="C161" s="1" t="s">
        <v>187</v>
      </c>
      <c r="D161">
        <f>IMAGE("https://raw.githubusercontent.com/stautonico/pokemon-home-pokedex/main/sprites/feraligatr.png", 2)</f>
        <v>0</v>
      </c>
      <c r="E161" s="31" t="s">
        <v>18</v>
      </c>
      <c r="F161" s="29" t="s">
        <v>21</v>
      </c>
    </row>
    <row r="162" spans="1:6" ht="72" customHeight="1">
      <c r="A162" s="1" t="s">
        <v>27</v>
      </c>
      <c r="B162" s="1">
        <v>161</v>
      </c>
      <c r="C162" s="1" t="s">
        <v>188</v>
      </c>
      <c r="D162">
        <f>IMAGE("https://raw.githubusercontent.com/stautonico/pokemon-home-pokedex/main/sprites/sentret.png", 2)</f>
        <v>0</v>
      </c>
      <c r="E162" s="31" t="s">
        <v>18</v>
      </c>
      <c r="F162" s="5"/>
    </row>
    <row r="163" spans="1:6" ht="72" customHeight="1">
      <c r="A163" s="1" t="s">
        <v>27</v>
      </c>
      <c r="B163" s="1">
        <v>162</v>
      </c>
      <c r="C163" s="1" t="s">
        <v>189</v>
      </c>
      <c r="D163">
        <f>IMAGE("https://raw.githubusercontent.com/stautonico/pokemon-home-pokedex/main/sprites/furret.png", 2)</f>
        <v>0</v>
      </c>
      <c r="E163" s="31" t="s">
        <v>18</v>
      </c>
      <c r="F163" s="5"/>
    </row>
    <row r="164" spans="1:6" ht="72" customHeight="1">
      <c r="A164" s="1" t="s">
        <v>27</v>
      </c>
      <c r="B164" s="1">
        <v>163</v>
      </c>
      <c r="C164" s="1" t="s">
        <v>190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27</v>
      </c>
      <c r="B165" s="1">
        <v>164</v>
      </c>
      <c r="C165" s="1" t="s">
        <v>191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27</v>
      </c>
      <c r="B166" s="1">
        <v>165</v>
      </c>
      <c r="C166" s="1" t="s">
        <v>192</v>
      </c>
      <c r="D166">
        <f>IMAGE("https://raw.githubusercontent.com/stautonico/pokemon-home-pokedex/main/sprites/ledyba.png", 2)</f>
        <v>0</v>
      </c>
      <c r="E166" s="31" t="s">
        <v>18</v>
      </c>
      <c r="F166" s="5"/>
    </row>
    <row r="167" spans="1:6" ht="72" customHeight="1">
      <c r="A167" s="1" t="s">
        <v>27</v>
      </c>
      <c r="B167" s="1">
        <v>166</v>
      </c>
      <c r="C167" s="1" t="s">
        <v>193</v>
      </c>
      <c r="D167">
        <f>IMAGE("https://raw.githubusercontent.com/stautonico/pokemon-home-pokedex/main/sprites/ledian.png", 2)</f>
        <v>0</v>
      </c>
      <c r="E167" s="31" t="s">
        <v>18</v>
      </c>
      <c r="F167" s="5"/>
    </row>
    <row r="168" spans="1:6" ht="72" customHeight="1">
      <c r="A168" s="1" t="s">
        <v>27</v>
      </c>
      <c r="B168" s="1">
        <v>167</v>
      </c>
      <c r="C168" s="1" t="s">
        <v>194</v>
      </c>
      <c r="D168">
        <f>IMAGE("https://raw.githubusercontent.com/stautonico/pokemon-home-pokedex/main/sprites/spinarak.png", 2)</f>
        <v>0</v>
      </c>
      <c r="E168" s="31" t="s">
        <v>18</v>
      </c>
      <c r="F168" s="5"/>
    </row>
    <row r="169" spans="1:6" ht="72" customHeight="1">
      <c r="A169" s="1" t="s">
        <v>27</v>
      </c>
      <c r="B169" s="1">
        <v>168</v>
      </c>
      <c r="C169" s="1" t="s">
        <v>195</v>
      </c>
      <c r="D169">
        <f>IMAGE("https://raw.githubusercontent.com/stautonico/pokemon-home-pokedex/main/sprites/ariados.png", 2)</f>
        <v>0</v>
      </c>
      <c r="E169" s="31" t="s">
        <v>18</v>
      </c>
      <c r="F169" s="5"/>
    </row>
    <row r="170" spans="1:6" ht="72" customHeight="1">
      <c r="A170" s="1" t="s">
        <v>27</v>
      </c>
      <c r="B170" s="1">
        <v>169</v>
      </c>
      <c r="C170" s="1" t="s">
        <v>196</v>
      </c>
      <c r="D170">
        <f>IMAGE("https://raw.githubusercontent.com/stautonico/pokemon-home-pokedex/main/sprites/crobat.png", 2)</f>
        <v>0</v>
      </c>
      <c r="E170" s="31" t="s">
        <v>18</v>
      </c>
      <c r="F170" s="5"/>
    </row>
    <row r="171" spans="1:6" ht="72" customHeight="1">
      <c r="A171" s="1" t="s">
        <v>27</v>
      </c>
      <c r="B171" s="1">
        <v>170</v>
      </c>
      <c r="C171" s="1" t="s">
        <v>197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27</v>
      </c>
      <c r="B172" s="1">
        <v>171</v>
      </c>
      <c r="C172" s="1" t="s">
        <v>198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27</v>
      </c>
      <c r="B173" s="1">
        <v>172</v>
      </c>
      <c r="C173" s="1" t="s">
        <v>199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27</v>
      </c>
      <c r="B174" s="1">
        <v>173</v>
      </c>
      <c r="C174" s="1" t="s">
        <v>200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27</v>
      </c>
      <c r="B175" s="1">
        <v>174</v>
      </c>
      <c r="C175" s="1" t="s">
        <v>201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27</v>
      </c>
      <c r="B176" s="1">
        <v>175</v>
      </c>
      <c r="C176" s="1" t="s">
        <v>202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27</v>
      </c>
      <c r="B177" s="1">
        <v>176</v>
      </c>
      <c r="C177" s="1" t="s">
        <v>203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27</v>
      </c>
      <c r="B178" s="1">
        <v>177</v>
      </c>
      <c r="C178" s="1" t="s">
        <v>204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27</v>
      </c>
      <c r="B179" s="1">
        <v>178</v>
      </c>
      <c r="C179" s="1" t="s">
        <v>205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27</v>
      </c>
      <c r="B180" s="1">
        <v>179</v>
      </c>
      <c r="C180" s="1" t="s">
        <v>206</v>
      </c>
      <c r="D180">
        <f>IMAGE("https://raw.githubusercontent.com/stautonico/pokemon-home-pokedex/main/sprites/mareep.png", 2)</f>
        <v>0</v>
      </c>
      <c r="E180" s="27" t="s">
        <v>17</v>
      </c>
      <c r="F180" s="5"/>
    </row>
    <row r="181" spans="1:6" ht="72" customHeight="1">
      <c r="A181" s="1" t="s">
        <v>27</v>
      </c>
      <c r="B181" s="1">
        <v>180</v>
      </c>
      <c r="C181" s="1" t="s">
        <v>207</v>
      </c>
      <c r="D181">
        <f>IMAGE("https://raw.githubusercontent.com/stautonico/pokemon-home-pokedex/main/sprites/flaaffy.png", 2)</f>
        <v>0</v>
      </c>
      <c r="E181" s="27" t="s">
        <v>17</v>
      </c>
      <c r="F181" s="5"/>
    </row>
    <row r="182" spans="1:6" ht="72" customHeight="1">
      <c r="A182" s="1" t="s">
        <v>27</v>
      </c>
      <c r="B182" s="1">
        <v>181</v>
      </c>
      <c r="C182" s="1" t="s">
        <v>208</v>
      </c>
      <c r="D182">
        <f>IMAGE("https://raw.githubusercontent.com/stautonico/pokemon-home-pokedex/main/sprites/ampharos.png", 2)</f>
        <v>0</v>
      </c>
      <c r="E182" s="27" t="s">
        <v>17</v>
      </c>
      <c r="F182" s="5"/>
    </row>
    <row r="183" spans="1:6" ht="72" customHeight="1">
      <c r="A183" s="1" t="s">
        <v>27</v>
      </c>
      <c r="B183" s="1">
        <v>182</v>
      </c>
      <c r="C183" s="1" t="s">
        <v>209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27</v>
      </c>
      <c r="B184" s="1">
        <v>183</v>
      </c>
      <c r="C184" s="1" t="s">
        <v>210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27</v>
      </c>
      <c r="B185" s="1">
        <v>184</v>
      </c>
      <c r="C185" s="1" t="s">
        <v>211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27</v>
      </c>
      <c r="B186" s="1">
        <v>185</v>
      </c>
      <c r="C186" s="1" t="s">
        <v>212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27</v>
      </c>
      <c r="B187" s="1">
        <v>186</v>
      </c>
      <c r="C187" s="1" t="s">
        <v>213</v>
      </c>
      <c r="D187">
        <f>IMAGE("https://raw.githubusercontent.com/stautonico/pokemon-home-pokedex/main/sprites/politoed.png", 2)</f>
        <v>0</v>
      </c>
      <c r="E187" s="3" t="s">
        <v>12</v>
      </c>
      <c r="F187" s="31" t="s">
        <v>18</v>
      </c>
    </row>
    <row r="188" spans="1:6" ht="72" customHeight="1">
      <c r="A188" s="1" t="s">
        <v>27</v>
      </c>
      <c r="B188" s="1">
        <v>187</v>
      </c>
      <c r="C188" s="1" t="s">
        <v>214</v>
      </c>
      <c r="D188">
        <f>IMAGE("https://raw.githubusercontent.com/stautonico/pokemon-home-pokedex/main/sprites/hoppip.png", 2)</f>
        <v>0</v>
      </c>
      <c r="E188" s="31" t="s">
        <v>18</v>
      </c>
      <c r="F188" s="5"/>
    </row>
    <row r="189" spans="1:6" ht="72" customHeight="1">
      <c r="A189" s="1" t="s">
        <v>27</v>
      </c>
      <c r="B189" s="1">
        <v>188</v>
      </c>
      <c r="C189" s="1" t="s">
        <v>215</v>
      </c>
      <c r="D189">
        <f>IMAGE("https://raw.githubusercontent.com/stautonico/pokemon-home-pokedex/main/sprites/skiploom.png", 2)</f>
        <v>0</v>
      </c>
      <c r="E189" s="31" t="s">
        <v>18</v>
      </c>
      <c r="F189" s="5"/>
    </row>
    <row r="190" spans="1:6" ht="72" customHeight="1">
      <c r="A190" s="1" t="s">
        <v>27</v>
      </c>
      <c r="B190" s="1">
        <v>189</v>
      </c>
      <c r="C190" s="1" t="s">
        <v>216</v>
      </c>
      <c r="D190">
        <f>IMAGE("https://raw.githubusercontent.com/stautonico/pokemon-home-pokedex/main/sprites/jumpluff.png", 2)</f>
        <v>0</v>
      </c>
      <c r="E190" s="31" t="s">
        <v>18</v>
      </c>
      <c r="F190" s="5"/>
    </row>
    <row r="191" spans="1:6" ht="72" customHeight="1">
      <c r="A191" s="1" t="s">
        <v>27</v>
      </c>
      <c r="B191" s="1">
        <v>190</v>
      </c>
      <c r="C191" s="1" t="s">
        <v>217</v>
      </c>
      <c r="D191">
        <f>IMAGE("https://raw.githubusercontent.com/stautonico/pokemon-home-pokedex/main/sprites/aipom.png", 2)</f>
        <v>0</v>
      </c>
      <c r="E191" s="31" t="s">
        <v>18</v>
      </c>
      <c r="F191" s="5"/>
    </row>
    <row r="192" spans="1:6" ht="72" customHeight="1">
      <c r="A192" s="1" t="s">
        <v>27</v>
      </c>
      <c r="B192" s="1">
        <v>191</v>
      </c>
      <c r="C192" s="1" t="s">
        <v>218</v>
      </c>
      <c r="D192">
        <f>IMAGE("https://raw.githubusercontent.com/stautonico/pokemon-home-pokedex/main/sprites/sunkern.png", 2)</f>
        <v>0</v>
      </c>
      <c r="E192" s="31" t="s">
        <v>18</v>
      </c>
      <c r="F192" s="5"/>
    </row>
    <row r="193" spans="1:6" ht="72" customHeight="1">
      <c r="A193" s="1" t="s">
        <v>27</v>
      </c>
      <c r="B193" s="1">
        <v>192</v>
      </c>
      <c r="C193" s="1" t="s">
        <v>219</v>
      </c>
      <c r="D193">
        <f>IMAGE("https://raw.githubusercontent.com/stautonico/pokemon-home-pokedex/main/sprites/sunflora.png", 2)</f>
        <v>0</v>
      </c>
      <c r="E193" s="31" t="s">
        <v>18</v>
      </c>
      <c r="F193" s="5"/>
    </row>
    <row r="194" spans="1:6" ht="72" customHeight="1">
      <c r="A194" s="1" t="s">
        <v>27</v>
      </c>
      <c r="B194" s="1">
        <v>193</v>
      </c>
      <c r="C194" s="1" t="s">
        <v>220</v>
      </c>
      <c r="D194">
        <f>IMAGE("https://raw.githubusercontent.com/stautonico/pokemon-home-pokedex/main/sprites/yanma.png", 2)</f>
        <v>0</v>
      </c>
      <c r="E194" s="31" t="s">
        <v>18</v>
      </c>
      <c r="F194" s="5"/>
    </row>
    <row r="195" spans="1:6" ht="72" customHeight="1">
      <c r="A195" s="1" t="s">
        <v>27</v>
      </c>
      <c r="B195" s="1">
        <v>194</v>
      </c>
      <c r="C195" s="1" t="s">
        <v>221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27</v>
      </c>
      <c r="B196" s="1">
        <v>195</v>
      </c>
      <c r="C196" s="1" t="s">
        <v>222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27</v>
      </c>
      <c r="B197" s="1">
        <v>196</v>
      </c>
      <c r="C197" s="1" t="s">
        <v>223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27</v>
      </c>
      <c r="B198" s="1">
        <v>197</v>
      </c>
      <c r="C198" s="1" t="s">
        <v>224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27</v>
      </c>
      <c r="B199" s="1">
        <v>198</v>
      </c>
      <c r="C199" s="1" t="s">
        <v>225</v>
      </c>
      <c r="D199">
        <f>IMAGE("https://raw.githubusercontent.com/stautonico/pokemon-home-pokedex/main/sprites/murkrow.png", 2)</f>
        <v>0</v>
      </c>
      <c r="E199" s="31" t="s">
        <v>18</v>
      </c>
      <c r="F199" s="5"/>
    </row>
    <row r="200" spans="1:6" ht="72" customHeight="1">
      <c r="A200" s="1" t="s">
        <v>27</v>
      </c>
      <c r="B200" s="1">
        <v>199</v>
      </c>
      <c r="C200" s="1" t="s">
        <v>226</v>
      </c>
      <c r="D200">
        <f>IMAGE("https://raw.githubusercontent.com/stautonico/pokemon-home-pokedex/main/sprites/slowking.png", 2)</f>
        <v>0</v>
      </c>
      <c r="E200" s="27" t="s">
        <v>17</v>
      </c>
      <c r="F200" s="31" t="s">
        <v>18</v>
      </c>
    </row>
    <row r="201" spans="1:6" ht="72" customHeight="1">
      <c r="A201" s="1" t="s">
        <v>27</v>
      </c>
      <c r="B201" s="1">
        <v>200</v>
      </c>
      <c r="C201" s="1" t="s">
        <v>227</v>
      </c>
      <c r="D201">
        <f>IMAGE("https://raw.githubusercontent.com/stautonico/pokemon-home-pokedex/main/sprites/misdreavus.png", 2)</f>
        <v>0</v>
      </c>
      <c r="E201" s="31" t="s">
        <v>18</v>
      </c>
      <c r="F201" s="5"/>
    </row>
    <row r="202" spans="1:6" ht="72" customHeight="1">
      <c r="A202" s="1" t="s">
        <v>27</v>
      </c>
      <c r="B202" s="1">
        <v>201</v>
      </c>
      <c r="C202" s="1" t="s">
        <v>228</v>
      </c>
      <c r="D202">
        <f>IMAGE("https://raw.githubusercontent.com/stautonico/pokemon-home-pokedex/main/sprites/unown.png", 2)</f>
        <v>0</v>
      </c>
      <c r="E202" s="31" t="s">
        <v>18</v>
      </c>
      <c r="F202" s="5"/>
    </row>
    <row r="203" spans="1:6" ht="72" customHeight="1">
      <c r="A203" s="1" t="s">
        <v>27</v>
      </c>
      <c r="B203" s="1">
        <v>202</v>
      </c>
      <c r="C203" s="1" t="s">
        <v>229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27</v>
      </c>
      <c r="B204" s="1">
        <v>203</v>
      </c>
      <c r="C204" s="1" t="s">
        <v>230</v>
      </c>
      <c r="D204">
        <f>IMAGE("https://raw.githubusercontent.com/stautonico/pokemon-home-pokedex/main/sprites/girafarig.png", 2)</f>
        <v>0</v>
      </c>
      <c r="E204" s="29" t="s">
        <v>21</v>
      </c>
      <c r="F204" s="5"/>
    </row>
    <row r="205" spans="1:6" ht="72" customHeight="1">
      <c r="A205" s="1" t="s">
        <v>27</v>
      </c>
      <c r="B205" s="1">
        <v>204</v>
      </c>
      <c r="C205" s="1" t="s">
        <v>231</v>
      </c>
      <c r="D205">
        <f>IMAGE("https://raw.githubusercontent.com/stautonico/pokemon-home-pokedex/main/sprites/pineco.png", 2)</f>
        <v>0</v>
      </c>
      <c r="E205" s="31" t="s">
        <v>18</v>
      </c>
      <c r="F205" s="5"/>
    </row>
    <row r="206" spans="1:6" ht="72" customHeight="1">
      <c r="A206" s="1" t="s">
        <v>27</v>
      </c>
      <c r="B206" s="1">
        <v>205</v>
      </c>
      <c r="C206" s="1" t="s">
        <v>232</v>
      </c>
      <c r="D206">
        <f>IMAGE("https://raw.githubusercontent.com/stautonico/pokemon-home-pokedex/main/sprites/forretress.png", 2)</f>
        <v>0</v>
      </c>
      <c r="E206" s="31" t="s">
        <v>18</v>
      </c>
      <c r="F206" s="5"/>
    </row>
    <row r="207" spans="1:6" ht="72" customHeight="1">
      <c r="A207" s="1" t="s">
        <v>27</v>
      </c>
      <c r="B207" s="1">
        <v>206</v>
      </c>
      <c r="C207" s="1" t="s">
        <v>233</v>
      </c>
      <c r="D207">
        <f>IMAGE("https://raw.githubusercontent.com/stautonico/pokemon-home-pokedex/main/sprites/dunsparce.png", 2)</f>
        <v>0</v>
      </c>
      <c r="E207" s="3" t="s">
        <v>12</v>
      </c>
      <c r="F207" s="31" t="s">
        <v>18</v>
      </c>
    </row>
    <row r="208" spans="1:6" ht="72" customHeight="1">
      <c r="A208" s="1" t="s">
        <v>27</v>
      </c>
      <c r="B208" s="1">
        <v>207</v>
      </c>
      <c r="C208" s="1" t="s">
        <v>234</v>
      </c>
      <c r="D208">
        <f>IMAGE("https://raw.githubusercontent.com/stautonico/pokemon-home-pokedex/main/sprites/gligar.png", 2)</f>
        <v>0</v>
      </c>
      <c r="E208" s="31" t="s">
        <v>18</v>
      </c>
      <c r="F208" s="5"/>
    </row>
    <row r="209" spans="1:6" ht="72" customHeight="1">
      <c r="A209" s="1" t="s">
        <v>27</v>
      </c>
      <c r="B209" s="1">
        <v>208</v>
      </c>
      <c r="C209" s="1" t="s">
        <v>235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27</v>
      </c>
      <c r="B210" s="1">
        <v>209</v>
      </c>
      <c r="C210" s="1" t="s">
        <v>236</v>
      </c>
      <c r="D210">
        <f>IMAGE("https://raw.githubusercontent.com/stautonico/pokemon-home-pokedex/main/sprites/snubbull.png", 2)</f>
        <v>0</v>
      </c>
      <c r="E210" s="31" t="s">
        <v>18</v>
      </c>
      <c r="F210" s="5"/>
    </row>
    <row r="211" spans="1:6" ht="72" customHeight="1">
      <c r="A211" s="1" t="s">
        <v>27</v>
      </c>
      <c r="B211" s="1">
        <v>210</v>
      </c>
      <c r="C211" s="1" t="s">
        <v>237</v>
      </c>
      <c r="D211">
        <f>IMAGE("https://raw.githubusercontent.com/stautonico/pokemon-home-pokedex/main/sprites/granbull.png", 2)</f>
        <v>0</v>
      </c>
      <c r="E211" s="31" t="s">
        <v>18</v>
      </c>
      <c r="F211" s="5"/>
    </row>
    <row r="212" spans="1:6" ht="72" customHeight="1">
      <c r="A212" s="1" t="s">
        <v>27</v>
      </c>
      <c r="B212" s="1">
        <v>211</v>
      </c>
      <c r="C212" s="1" t="s">
        <v>238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27</v>
      </c>
      <c r="B213" s="1">
        <v>212</v>
      </c>
      <c r="C213" s="1" t="s">
        <v>239</v>
      </c>
      <c r="D213">
        <f>IMAGE("https://raw.githubusercontent.com/stautonico/pokemon-home-pokedex/main/sprites/scizor.png", 2)</f>
        <v>0</v>
      </c>
      <c r="E213" s="3" t="s">
        <v>12</v>
      </c>
      <c r="F213" s="31" t="s">
        <v>18</v>
      </c>
    </row>
    <row r="214" spans="1:6" ht="72" customHeight="1">
      <c r="A214" s="1" t="s">
        <v>27</v>
      </c>
      <c r="B214" s="1">
        <v>213</v>
      </c>
      <c r="C214" s="1" t="s">
        <v>240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27</v>
      </c>
      <c r="B215" s="1">
        <v>214</v>
      </c>
      <c r="C215" s="1" t="s">
        <v>241</v>
      </c>
      <c r="D215">
        <f>IMAGE("https://raw.githubusercontent.com/stautonico/pokemon-home-pokedex/main/sprites/heracross.png", 2)</f>
        <v>0</v>
      </c>
      <c r="E215" s="3" t="s">
        <v>12</v>
      </c>
      <c r="F215" s="31" t="s">
        <v>18</v>
      </c>
    </row>
    <row r="216" spans="1:6" ht="72" customHeight="1">
      <c r="A216" s="1" t="s">
        <v>27</v>
      </c>
      <c r="B216" s="1">
        <v>215</v>
      </c>
      <c r="C216" s="1" t="s">
        <v>242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27</v>
      </c>
      <c r="B217" s="1">
        <v>216</v>
      </c>
      <c r="C217" s="1" t="s">
        <v>243</v>
      </c>
      <c r="D217">
        <f>IMAGE("https://raw.githubusercontent.com/stautonico/pokemon-home-pokedex/main/sprites/teddiursa.png", 2)</f>
        <v>0</v>
      </c>
      <c r="E217" s="31" t="s">
        <v>18</v>
      </c>
      <c r="F217" s="5"/>
    </row>
    <row r="218" spans="1:6" ht="72" customHeight="1">
      <c r="A218" s="1" t="s">
        <v>27</v>
      </c>
      <c r="B218" s="1">
        <v>217</v>
      </c>
      <c r="C218" s="1" t="s">
        <v>244</v>
      </c>
      <c r="D218">
        <f>IMAGE("https://raw.githubusercontent.com/stautonico/pokemon-home-pokedex/main/sprites/ursaring.png", 2)</f>
        <v>0</v>
      </c>
      <c r="E218" s="31" t="s">
        <v>18</v>
      </c>
      <c r="F218" s="5"/>
    </row>
    <row r="219" spans="1:6" ht="72" customHeight="1">
      <c r="A219" s="1" t="s">
        <v>27</v>
      </c>
      <c r="B219" s="1">
        <v>218</v>
      </c>
      <c r="C219" s="1" t="s">
        <v>245</v>
      </c>
      <c r="D219">
        <f>IMAGE("https://raw.githubusercontent.com/stautonico/pokemon-home-pokedex/main/sprites/slugma.png", 2)</f>
        <v>0</v>
      </c>
      <c r="E219" s="31" t="s">
        <v>18</v>
      </c>
      <c r="F219" s="5"/>
    </row>
    <row r="220" spans="1:6" ht="72" customHeight="1">
      <c r="A220" s="1" t="s">
        <v>27</v>
      </c>
      <c r="B220" s="1">
        <v>219</v>
      </c>
      <c r="C220" s="1" t="s">
        <v>246</v>
      </c>
      <c r="D220">
        <f>IMAGE("https://raw.githubusercontent.com/stautonico/pokemon-home-pokedex/main/sprites/magcargo.png", 2)</f>
        <v>0</v>
      </c>
      <c r="E220" s="31" t="s">
        <v>18</v>
      </c>
      <c r="F220" s="5"/>
    </row>
    <row r="221" spans="1:6" ht="72" customHeight="1">
      <c r="A221" s="1" t="s">
        <v>27</v>
      </c>
      <c r="B221" s="1">
        <v>220</v>
      </c>
      <c r="C221" s="1" t="s">
        <v>247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27</v>
      </c>
      <c r="B222" s="1">
        <v>221</v>
      </c>
      <c r="C222" s="1" t="s">
        <v>248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27</v>
      </c>
      <c r="B223" s="1">
        <v>222</v>
      </c>
      <c r="C223" s="1" t="s">
        <v>249</v>
      </c>
      <c r="D223">
        <f>IMAGE("https://raw.githubusercontent.com/stautonico/pokemon-home-pokedex/main/sprites/corsola.png", 2)</f>
        <v>0</v>
      </c>
      <c r="E223" s="28" t="s">
        <v>15</v>
      </c>
      <c r="F223" s="24" t="s">
        <v>16</v>
      </c>
    </row>
    <row r="224" spans="1:6" ht="72" customHeight="1">
      <c r="A224" s="1" t="s">
        <v>27</v>
      </c>
      <c r="B224" s="1">
        <v>223</v>
      </c>
      <c r="C224" s="1" t="s">
        <v>250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27</v>
      </c>
      <c r="B225" s="1">
        <v>224</v>
      </c>
      <c r="C225" s="1" t="s">
        <v>251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27</v>
      </c>
      <c r="B226" s="1">
        <v>225</v>
      </c>
      <c r="C226" s="1" t="s">
        <v>252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27</v>
      </c>
      <c r="B227" s="1">
        <v>226</v>
      </c>
      <c r="C227" s="1" t="s">
        <v>253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27</v>
      </c>
      <c r="B228" s="1">
        <v>227</v>
      </c>
      <c r="C228" s="1" t="s">
        <v>254</v>
      </c>
      <c r="D228">
        <f>IMAGE("https://raw.githubusercontent.com/stautonico/pokemon-home-pokedex/main/sprites/skarmory.png", 2)</f>
        <v>0</v>
      </c>
      <c r="E228" s="31" t="s">
        <v>18</v>
      </c>
      <c r="F228" s="5"/>
    </row>
    <row r="229" spans="1:6" ht="72" customHeight="1">
      <c r="A229" s="1" t="s">
        <v>27</v>
      </c>
      <c r="B229" s="1">
        <v>228</v>
      </c>
      <c r="C229" s="1" t="s">
        <v>255</v>
      </c>
      <c r="D229">
        <f>IMAGE("https://raw.githubusercontent.com/stautonico/pokemon-home-pokedex/main/sprites/houndour.png", 2)</f>
        <v>0</v>
      </c>
      <c r="E229" s="31" t="s">
        <v>18</v>
      </c>
      <c r="F229" s="5"/>
    </row>
    <row r="230" spans="1:6" ht="72" customHeight="1">
      <c r="A230" s="1" t="s">
        <v>27</v>
      </c>
      <c r="B230" s="1">
        <v>229</v>
      </c>
      <c r="C230" s="1" t="s">
        <v>256</v>
      </c>
      <c r="D230">
        <f>IMAGE("https://raw.githubusercontent.com/stautonico/pokemon-home-pokedex/main/sprites/houndoom.png", 2)</f>
        <v>0</v>
      </c>
      <c r="E230" s="31" t="s">
        <v>18</v>
      </c>
      <c r="F230" s="5"/>
    </row>
    <row r="231" spans="1:6" ht="72" customHeight="1">
      <c r="A231" s="1" t="s">
        <v>27</v>
      </c>
      <c r="B231" s="1">
        <v>230</v>
      </c>
      <c r="C231" s="1" t="s">
        <v>257</v>
      </c>
      <c r="D231">
        <f>IMAGE("https://raw.githubusercontent.com/stautonico/pokemon-home-pokedex/main/sprites/kingdra.png", 2)</f>
        <v>0</v>
      </c>
      <c r="E231" s="3" t="s">
        <v>12</v>
      </c>
      <c r="F231" s="31" t="s">
        <v>18</v>
      </c>
    </row>
    <row r="232" spans="1:6" ht="72" customHeight="1">
      <c r="A232" s="1" t="s">
        <v>27</v>
      </c>
      <c r="B232" s="1">
        <v>231</v>
      </c>
      <c r="C232" s="1" t="s">
        <v>258</v>
      </c>
      <c r="D232">
        <f>IMAGE("https://raw.githubusercontent.com/stautonico/pokemon-home-pokedex/main/sprites/phanpy.png", 2)</f>
        <v>0</v>
      </c>
      <c r="E232" s="31" t="s">
        <v>18</v>
      </c>
      <c r="F232" s="5"/>
    </row>
    <row r="233" spans="1:6" ht="72" customHeight="1">
      <c r="A233" s="1" t="s">
        <v>27</v>
      </c>
      <c r="B233" s="1">
        <v>232</v>
      </c>
      <c r="C233" s="1" t="s">
        <v>259</v>
      </c>
      <c r="D233">
        <f>IMAGE("https://raw.githubusercontent.com/stautonico/pokemon-home-pokedex/main/sprites/donphan.png", 2)</f>
        <v>0</v>
      </c>
      <c r="E233" s="31" t="s">
        <v>18</v>
      </c>
      <c r="F233" s="5"/>
    </row>
    <row r="234" spans="1:6" ht="72" customHeight="1">
      <c r="A234" s="1" t="s">
        <v>27</v>
      </c>
      <c r="B234" s="1">
        <v>233</v>
      </c>
      <c r="C234" s="1" t="s">
        <v>260</v>
      </c>
      <c r="D234">
        <f>IMAGE("https://raw.githubusercontent.com/stautonico/pokemon-home-pokedex/main/sprites/porygon2.png", 2)</f>
        <v>0</v>
      </c>
      <c r="E234" s="3" t="s">
        <v>12</v>
      </c>
      <c r="F234" s="31" t="s">
        <v>18</v>
      </c>
    </row>
    <row r="235" spans="1:6" ht="72" customHeight="1">
      <c r="A235" s="1" t="s">
        <v>27</v>
      </c>
      <c r="B235" s="1">
        <v>234</v>
      </c>
      <c r="C235" s="1" t="s">
        <v>261</v>
      </c>
      <c r="D235">
        <f>IMAGE("https://raw.githubusercontent.com/stautonico/pokemon-home-pokedex/main/sprites/stantler.png", 2)</f>
        <v>0</v>
      </c>
      <c r="E235" s="31" t="s">
        <v>18</v>
      </c>
      <c r="F235" s="5"/>
    </row>
    <row r="236" spans="1:6" ht="72" customHeight="1">
      <c r="A236" s="1" t="s">
        <v>27</v>
      </c>
      <c r="B236" s="1">
        <v>235</v>
      </c>
      <c r="C236" s="1" t="s">
        <v>262</v>
      </c>
      <c r="D236">
        <f>IMAGE("https://raw.githubusercontent.com/stautonico/pokemon-home-pokedex/main/sprites/smeargle.png", 2)</f>
        <v>0</v>
      </c>
      <c r="E236" s="31" t="s">
        <v>18</v>
      </c>
      <c r="F236" s="5"/>
    </row>
    <row r="237" spans="1:6" ht="72" customHeight="1">
      <c r="A237" s="1" t="s">
        <v>27</v>
      </c>
      <c r="B237" s="1">
        <v>236</v>
      </c>
      <c r="C237" s="1" t="s">
        <v>263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27</v>
      </c>
      <c r="B238" s="1">
        <v>237</v>
      </c>
      <c r="C238" s="1" t="s">
        <v>264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27</v>
      </c>
      <c r="B239" s="1">
        <v>238</v>
      </c>
      <c r="C239" s="1" t="s">
        <v>265</v>
      </c>
      <c r="D239">
        <f>IMAGE("https://raw.githubusercontent.com/stautonico/pokemon-home-pokedex/main/sprites/smoochum.png", 2)</f>
        <v>0</v>
      </c>
      <c r="E239" s="31" t="s">
        <v>18</v>
      </c>
      <c r="F239" s="5"/>
    </row>
    <row r="240" spans="1:6" ht="72" customHeight="1">
      <c r="A240" s="1" t="s">
        <v>27</v>
      </c>
      <c r="B240" s="1">
        <v>239</v>
      </c>
      <c r="C240" s="1" t="s">
        <v>266</v>
      </c>
      <c r="D240">
        <f>IMAGE("https://raw.githubusercontent.com/stautonico/pokemon-home-pokedex/main/sprites/elekid.png", 2)</f>
        <v>0</v>
      </c>
      <c r="E240" s="31" t="s">
        <v>18</v>
      </c>
      <c r="F240" s="5"/>
    </row>
    <row r="241" spans="1:6" ht="72" customHeight="1">
      <c r="A241" s="1" t="s">
        <v>27</v>
      </c>
      <c r="B241" s="1">
        <v>240</v>
      </c>
      <c r="C241" s="1" t="s">
        <v>267</v>
      </c>
      <c r="D241">
        <f>IMAGE("https://raw.githubusercontent.com/stautonico/pokemon-home-pokedex/main/sprites/magby.png", 2)</f>
        <v>0</v>
      </c>
      <c r="E241" s="31" t="s">
        <v>18</v>
      </c>
      <c r="F241" s="5"/>
    </row>
    <row r="242" spans="1:6" ht="72" customHeight="1">
      <c r="A242" s="1" t="s">
        <v>27</v>
      </c>
      <c r="B242" s="1">
        <v>241</v>
      </c>
      <c r="C242" s="1" t="s">
        <v>268</v>
      </c>
      <c r="D242">
        <f>IMAGE("https://raw.githubusercontent.com/stautonico/pokemon-home-pokedex/main/sprites/miltank.png", 2)</f>
        <v>0</v>
      </c>
      <c r="E242" s="3" t="s">
        <v>12</v>
      </c>
      <c r="F242" s="31" t="s">
        <v>18</v>
      </c>
    </row>
    <row r="243" spans="1:6" ht="72" customHeight="1">
      <c r="A243" s="1" t="s">
        <v>27</v>
      </c>
      <c r="B243" s="1">
        <v>242</v>
      </c>
      <c r="C243" s="1" t="s">
        <v>269</v>
      </c>
      <c r="D243">
        <f>IMAGE("https://raw.githubusercontent.com/stautonico/pokemon-home-pokedex/main/sprites/blissey.png", 2)</f>
        <v>0</v>
      </c>
      <c r="E243" s="3" t="s">
        <v>12</v>
      </c>
      <c r="F243" s="31" t="s">
        <v>18</v>
      </c>
    </row>
    <row r="244" spans="1:6" ht="72" customHeight="1">
      <c r="A244" s="1" t="s">
        <v>27</v>
      </c>
      <c r="B244" s="1">
        <v>243</v>
      </c>
      <c r="C244" s="1" t="s">
        <v>270</v>
      </c>
      <c r="D244">
        <f>IMAGE("https://raw.githubusercontent.com/stautonico/pokemon-home-pokedex/main/sprites/raikou.png", 2)</f>
        <v>0</v>
      </c>
      <c r="E244" s="31" t="s">
        <v>18</v>
      </c>
      <c r="F244" s="5"/>
    </row>
    <row r="245" spans="1:6" ht="72" customHeight="1">
      <c r="A245" s="1" t="s">
        <v>27</v>
      </c>
      <c r="B245" s="1">
        <v>244</v>
      </c>
      <c r="C245" s="1" t="s">
        <v>271</v>
      </c>
      <c r="D245">
        <f>IMAGE("https://raw.githubusercontent.com/stautonico/pokemon-home-pokedex/main/sprites/entei.png", 2)</f>
        <v>0</v>
      </c>
      <c r="E245" s="31" t="s">
        <v>18</v>
      </c>
      <c r="F245" s="5"/>
    </row>
    <row r="246" spans="1:6" ht="72" customHeight="1">
      <c r="A246" s="1" t="s">
        <v>27</v>
      </c>
      <c r="B246" s="1">
        <v>245</v>
      </c>
      <c r="C246" s="1" t="s">
        <v>272</v>
      </c>
      <c r="D246">
        <f>IMAGE("https://raw.githubusercontent.com/stautonico/pokemon-home-pokedex/main/sprites/suicune.png", 2)</f>
        <v>0</v>
      </c>
      <c r="E246" s="31" t="s">
        <v>18</v>
      </c>
      <c r="F246" s="5"/>
    </row>
    <row r="247" spans="1:6" ht="72" customHeight="1">
      <c r="A247" s="1" t="s">
        <v>27</v>
      </c>
      <c r="B247" s="1">
        <v>246</v>
      </c>
      <c r="C247" s="1" t="s">
        <v>273</v>
      </c>
      <c r="D247">
        <f>IMAGE("https://raw.githubusercontent.com/stautonico/pokemon-home-pokedex/main/sprites/larvitar.png", 2)</f>
        <v>0</v>
      </c>
      <c r="E247" s="28" t="s">
        <v>15</v>
      </c>
      <c r="F247" s="27" t="s">
        <v>17</v>
      </c>
    </row>
    <row r="248" spans="1:6" ht="72" customHeight="1">
      <c r="A248" s="1" t="s">
        <v>27</v>
      </c>
      <c r="B248" s="1">
        <v>247</v>
      </c>
      <c r="C248" s="1" t="s">
        <v>274</v>
      </c>
      <c r="D248">
        <f>IMAGE("https://raw.githubusercontent.com/stautonico/pokemon-home-pokedex/main/sprites/pupitar.png", 2)</f>
        <v>0</v>
      </c>
      <c r="E248" s="28" t="s">
        <v>15</v>
      </c>
      <c r="F248" s="27" t="s">
        <v>17</v>
      </c>
    </row>
    <row r="249" spans="1:6" ht="72" customHeight="1">
      <c r="A249" s="1" t="s">
        <v>27</v>
      </c>
      <c r="B249" s="1">
        <v>248</v>
      </c>
      <c r="C249" s="1" t="s">
        <v>275</v>
      </c>
      <c r="D249">
        <f>IMAGE("https://raw.githubusercontent.com/stautonico/pokemon-home-pokedex/main/sprites/tyranitar.png", 2)</f>
        <v>0</v>
      </c>
      <c r="E249" s="28" t="s">
        <v>15</v>
      </c>
      <c r="F249" s="27" t="s">
        <v>17</v>
      </c>
    </row>
    <row r="250" spans="1:6" ht="72" customHeight="1">
      <c r="A250" s="1" t="s">
        <v>27</v>
      </c>
      <c r="B250" s="1">
        <v>249</v>
      </c>
      <c r="C250" s="1" t="s">
        <v>276</v>
      </c>
      <c r="D250">
        <f>IMAGE("https://raw.githubusercontent.com/stautonico/pokemon-home-pokedex/main/sprites/lugia.png", 2)</f>
        <v>0</v>
      </c>
      <c r="E250" s="31" t="s">
        <v>18</v>
      </c>
      <c r="F250" s="5"/>
    </row>
    <row r="251" spans="1:6" ht="72" customHeight="1">
      <c r="A251" s="1" t="s">
        <v>27</v>
      </c>
      <c r="B251" s="1">
        <v>250</v>
      </c>
      <c r="C251" s="1" t="s">
        <v>277</v>
      </c>
      <c r="D251">
        <f>IMAGE("https://raw.githubusercontent.com/stautonico/pokemon-home-pokedex/main/sprites/hooh.png", 2)</f>
        <v>0</v>
      </c>
      <c r="E251" s="31" t="s">
        <v>18</v>
      </c>
      <c r="F251" s="5"/>
    </row>
    <row r="252" spans="1:6" ht="72" customHeight="1">
      <c r="A252" s="1" t="s">
        <v>27</v>
      </c>
      <c r="B252" s="1">
        <v>251</v>
      </c>
      <c r="C252" s="1" t="s">
        <v>278</v>
      </c>
      <c r="D252">
        <f>IMAGE("https://raw.githubusercontent.com/stautonico/pokemon-home-pokedex/main/sprites/celebi.png", 2)</f>
        <v>0</v>
      </c>
      <c r="E252" s="31" t="s">
        <v>18</v>
      </c>
      <c r="F252" s="5"/>
    </row>
    <row r="253" spans="1:6" ht="72" customHeight="1">
      <c r="A253" s="1" t="s">
        <v>27</v>
      </c>
      <c r="B253" s="1">
        <v>252</v>
      </c>
      <c r="C253" s="1" t="s">
        <v>279</v>
      </c>
      <c r="D253">
        <f>IMAGE("https://raw.githubusercontent.com/stautonico/pokemon-home-pokedex/main/sprites/treecko.png", 2)</f>
        <v>0</v>
      </c>
      <c r="E253" s="27" t="s">
        <v>17</v>
      </c>
      <c r="F253" s="29" t="s">
        <v>21</v>
      </c>
    </row>
    <row r="254" spans="1:6" ht="72" customHeight="1">
      <c r="A254" s="1" t="s">
        <v>27</v>
      </c>
      <c r="B254" s="1">
        <v>253</v>
      </c>
      <c r="C254" s="1" t="s">
        <v>280</v>
      </c>
      <c r="D254">
        <f>IMAGE("https://raw.githubusercontent.com/stautonico/pokemon-home-pokedex/main/sprites/grovyle.png", 2)</f>
        <v>0</v>
      </c>
      <c r="E254" s="27" t="s">
        <v>17</v>
      </c>
      <c r="F254" s="29" t="s">
        <v>21</v>
      </c>
    </row>
    <row r="255" spans="1:6" ht="72" customHeight="1">
      <c r="A255" s="1" t="s">
        <v>27</v>
      </c>
      <c r="B255" s="1">
        <v>254</v>
      </c>
      <c r="C255" s="1" t="s">
        <v>281</v>
      </c>
      <c r="D255">
        <f>IMAGE("https://raw.githubusercontent.com/stautonico/pokemon-home-pokedex/main/sprites/sceptile.png", 2)</f>
        <v>0</v>
      </c>
      <c r="E255" s="27" t="s">
        <v>17</v>
      </c>
      <c r="F255" s="29" t="s">
        <v>21</v>
      </c>
    </row>
    <row r="256" spans="1:6" ht="72" customHeight="1">
      <c r="A256" s="1" t="s">
        <v>27</v>
      </c>
      <c r="B256" s="1">
        <v>255</v>
      </c>
      <c r="C256" s="1" t="s">
        <v>282</v>
      </c>
      <c r="D256">
        <f>IMAGE("https://raw.githubusercontent.com/stautonico/pokemon-home-pokedex/main/sprites/torchic.png", 2)</f>
        <v>0</v>
      </c>
      <c r="E256" s="27" t="s">
        <v>17</v>
      </c>
      <c r="F256" s="29" t="s">
        <v>21</v>
      </c>
    </row>
    <row r="257" spans="1:6" ht="72" customHeight="1">
      <c r="A257" s="1" t="s">
        <v>27</v>
      </c>
      <c r="B257" s="1">
        <v>256</v>
      </c>
      <c r="C257" s="1" t="s">
        <v>283</v>
      </c>
      <c r="D257">
        <f>IMAGE("https://raw.githubusercontent.com/stautonico/pokemon-home-pokedex/main/sprites/combusken.png", 2)</f>
        <v>0</v>
      </c>
      <c r="E257" s="27" t="s">
        <v>17</v>
      </c>
      <c r="F257" s="29" t="s">
        <v>21</v>
      </c>
    </row>
    <row r="258" spans="1:6" ht="72" customHeight="1">
      <c r="A258" s="1" t="s">
        <v>27</v>
      </c>
      <c r="B258" s="1">
        <v>257</v>
      </c>
      <c r="C258" s="1" t="s">
        <v>284</v>
      </c>
      <c r="D258">
        <f>IMAGE("https://raw.githubusercontent.com/stautonico/pokemon-home-pokedex/main/sprites/blaziken.png", 2)</f>
        <v>0</v>
      </c>
      <c r="E258" s="27" t="s">
        <v>17</v>
      </c>
      <c r="F258" s="29" t="s">
        <v>21</v>
      </c>
    </row>
    <row r="259" spans="1:6" ht="72" customHeight="1">
      <c r="A259" s="1" t="s">
        <v>27</v>
      </c>
      <c r="B259" s="1">
        <v>258</v>
      </c>
      <c r="C259" s="1" t="s">
        <v>285</v>
      </c>
      <c r="D259">
        <f>IMAGE("https://raw.githubusercontent.com/stautonico/pokemon-home-pokedex/main/sprites/mudkip.png", 2)</f>
        <v>0</v>
      </c>
      <c r="E259" s="27" t="s">
        <v>17</v>
      </c>
      <c r="F259" s="29" t="s">
        <v>21</v>
      </c>
    </row>
    <row r="260" spans="1:6" ht="72" customHeight="1">
      <c r="A260" s="1" t="s">
        <v>27</v>
      </c>
      <c r="B260" s="1">
        <v>259</v>
      </c>
      <c r="C260" s="1" t="s">
        <v>286</v>
      </c>
      <c r="D260">
        <f>IMAGE("https://raw.githubusercontent.com/stautonico/pokemon-home-pokedex/main/sprites/marshtomp.png", 2)</f>
        <v>0</v>
      </c>
      <c r="E260" s="27" t="s">
        <v>17</v>
      </c>
      <c r="F260" s="29" t="s">
        <v>21</v>
      </c>
    </row>
    <row r="261" spans="1:6" ht="72" customHeight="1">
      <c r="A261" s="1" t="s">
        <v>27</v>
      </c>
      <c r="B261" s="1">
        <v>260</v>
      </c>
      <c r="C261" s="1" t="s">
        <v>287</v>
      </c>
      <c r="D261">
        <f>IMAGE("https://raw.githubusercontent.com/stautonico/pokemon-home-pokedex/main/sprites/swampert.png", 2)</f>
        <v>0</v>
      </c>
      <c r="E261" s="27" t="s">
        <v>17</v>
      </c>
      <c r="F261" s="29" t="s">
        <v>21</v>
      </c>
    </row>
    <row r="262" spans="1:6" ht="72" customHeight="1">
      <c r="A262" s="1" t="s">
        <v>27</v>
      </c>
      <c r="B262" s="1">
        <v>261</v>
      </c>
      <c r="C262" s="1" t="s">
        <v>288</v>
      </c>
      <c r="D262">
        <f>IMAGE("https://raw.githubusercontent.com/stautonico/pokemon-home-pokedex/main/sprites/poochyena.png", 2)</f>
        <v>0</v>
      </c>
      <c r="E262" s="29" t="s">
        <v>21</v>
      </c>
      <c r="F262" s="5"/>
    </row>
    <row r="263" spans="1:6" ht="72" customHeight="1">
      <c r="A263" s="1" t="s">
        <v>27</v>
      </c>
      <c r="B263" s="1">
        <v>262</v>
      </c>
      <c r="C263" s="1" t="s">
        <v>289</v>
      </c>
      <c r="D263">
        <f>IMAGE("https://raw.githubusercontent.com/stautonico/pokemon-home-pokedex/main/sprites/mightyena.png", 2)</f>
        <v>0</v>
      </c>
      <c r="E263" s="29" t="s">
        <v>21</v>
      </c>
      <c r="F263" s="5"/>
    </row>
    <row r="264" spans="1:6" ht="72" customHeight="1">
      <c r="A264" s="1" t="s">
        <v>27</v>
      </c>
      <c r="B264" s="1">
        <v>263</v>
      </c>
      <c r="C264" s="1" t="s">
        <v>290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27</v>
      </c>
      <c r="B265" s="1">
        <v>264</v>
      </c>
      <c r="C265" s="1" t="s">
        <v>291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27</v>
      </c>
      <c r="B266" s="1">
        <v>265</v>
      </c>
      <c r="C266" s="1" t="s">
        <v>292</v>
      </c>
      <c r="D266">
        <f>IMAGE("https://raw.githubusercontent.com/stautonico/pokemon-home-pokedex/main/sprites/wurmple.png", 2)</f>
        <v>0</v>
      </c>
      <c r="E266" s="29" t="s">
        <v>21</v>
      </c>
      <c r="F266" s="5"/>
    </row>
    <row r="267" spans="1:6" ht="72" customHeight="1">
      <c r="A267" s="1" t="s">
        <v>27</v>
      </c>
      <c r="B267" s="1">
        <v>266</v>
      </c>
      <c r="C267" s="1" t="s">
        <v>293</v>
      </c>
      <c r="D267">
        <f>IMAGE("https://raw.githubusercontent.com/stautonico/pokemon-home-pokedex/main/sprites/silcoon.png", 2)</f>
        <v>0</v>
      </c>
      <c r="E267" s="29" t="s">
        <v>21</v>
      </c>
      <c r="F267" s="5"/>
    </row>
    <row r="268" spans="1:6" ht="72" customHeight="1">
      <c r="A268" s="1" t="s">
        <v>27</v>
      </c>
      <c r="B268" s="1">
        <v>267</v>
      </c>
      <c r="C268" s="1" t="s">
        <v>294</v>
      </c>
      <c r="D268">
        <f>IMAGE("https://raw.githubusercontent.com/stautonico/pokemon-home-pokedex/main/sprites/beautifly.png", 2)</f>
        <v>0</v>
      </c>
      <c r="E268" s="29" t="s">
        <v>21</v>
      </c>
      <c r="F268" s="5"/>
    </row>
    <row r="269" spans="1:6" ht="72" customHeight="1">
      <c r="A269" s="1" t="s">
        <v>27</v>
      </c>
      <c r="B269" s="1">
        <v>268</v>
      </c>
      <c r="C269" s="1" t="s">
        <v>295</v>
      </c>
      <c r="D269">
        <f>IMAGE("https://raw.githubusercontent.com/stautonico/pokemon-home-pokedex/main/sprites/cascoon.png", 2)</f>
        <v>0</v>
      </c>
      <c r="E269" s="29" t="s">
        <v>21</v>
      </c>
      <c r="F269" s="5"/>
    </row>
    <row r="270" spans="1:6" ht="72" customHeight="1">
      <c r="A270" s="1" t="s">
        <v>27</v>
      </c>
      <c r="B270" s="1">
        <v>269</v>
      </c>
      <c r="C270" s="1" t="s">
        <v>296</v>
      </c>
      <c r="D270">
        <f>IMAGE("https://raw.githubusercontent.com/stautonico/pokemon-home-pokedex/main/sprites/dustox.png", 2)</f>
        <v>0</v>
      </c>
      <c r="E270" s="29" t="s">
        <v>21</v>
      </c>
      <c r="F270" s="5"/>
    </row>
    <row r="271" spans="1:6" ht="72" customHeight="1">
      <c r="A271" s="1" t="s">
        <v>27</v>
      </c>
      <c r="B271" s="1">
        <v>270</v>
      </c>
      <c r="C271" s="1" t="s">
        <v>297</v>
      </c>
      <c r="D271">
        <f>IMAGE("https://raw.githubusercontent.com/stautonico/pokemon-home-pokedex/main/sprites/lotad.png", 2)</f>
        <v>0</v>
      </c>
      <c r="E271" s="28" t="s">
        <v>15</v>
      </c>
      <c r="F271" s="24" t="s">
        <v>16</v>
      </c>
    </row>
    <row r="272" spans="1:6" ht="72" customHeight="1">
      <c r="A272" s="1" t="s">
        <v>27</v>
      </c>
      <c r="B272" s="1">
        <v>271</v>
      </c>
      <c r="C272" s="1" t="s">
        <v>298</v>
      </c>
      <c r="D272">
        <f>IMAGE("https://raw.githubusercontent.com/stautonico/pokemon-home-pokedex/main/sprites/lombre.png", 2)</f>
        <v>0</v>
      </c>
      <c r="E272" s="28" t="s">
        <v>15</v>
      </c>
      <c r="F272" s="24" t="s">
        <v>16</v>
      </c>
    </row>
    <row r="273" spans="1:6" ht="72" customHeight="1">
      <c r="A273" s="1" t="s">
        <v>27</v>
      </c>
      <c r="B273" s="1">
        <v>272</v>
      </c>
      <c r="C273" s="1" t="s">
        <v>299</v>
      </c>
      <c r="D273">
        <f>IMAGE("https://raw.githubusercontent.com/stautonico/pokemon-home-pokedex/main/sprites/ludicolo.png", 2)</f>
        <v>0</v>
      </c>
      <c r="E273" s="28" t="s">
        <v>15</v>
      </c>
      <c r="F273" s="24" t="s">
        <v>16</v>
      </c>
    </row>
    <row r="274" spans="1:6" ht="72" customHeight="1">
      <c r="A274" s="1" t="s">
        <v>27</v>
      </c>
      <c r="B274" s="1">
        <v>273</v>
      </c>
      <c r="C274" s="1" t="s">
        <v>300</v>
      </c>
      <c r="D274">
        <f>IMAGE("https://raw.githubusercontent.com/stautonico/pokemon-home-pokedex/main/sprites/seedot.png", 2)</f>
        <v>0</v>
      </c>
      <c r="E274" s="30" t="s">
        <v>14</v>
      </c>
      <c r="F274" s="24" t="s">
        <v>16</v>
      </c>
    </row>
    <row r="275" spans="1:6" ht="72" customHeight="1">
      <c r="A275" s="1" t="s">
        <v>27</v>
      </c>
      <c r="B275" s="1">
        <v>274</v>
      </c>
      <c r="C275" s="1" t="s">
        <v>301</v>
      </c>
      <c r="D275">
        <f>IMAGE("https://raw.githubusercontent.com/stautonico/pokemon-home-pokedex/main/sprites/nuzleaf.png", 2)</f>
        <v>0</v>
      </c>
      <c r="E275" s="30" t="s">
        <v>14</v>
      </c>
      <c r="F275" s="24" t="s">
        <v>16</v>
      </c>
    </row>
    <row r="276" spans="1:6" ht="72" customHeight="1">
      <c r="A276" s="1" t="s">
        <v>27</v>
      </c>
      <c r="B276" s="1">
        <v>275</v>
      </c>
      <c r="C276" s="1" t="s">
        <v>302</v>
      </c>
      <c r="D276">
        <f>IMAGE("https://raw.githubusercontent.com/stautonico/pokemon-home-pokedex/main/sprites/shiftry.png", 2)</f>
        <v>0</v>
      </c>
      <c r="E276" s="30" t="s">
        <v>14</v>
      </c>
      <c r="F276" s="24" t="s">
        <v>16</v>
      </c>
    </row>
    <row r="277" spans="1:6" ht="72" customHeight="1">
      <c r="A277" s="1" t="s">
        <v>27</v>
      </c>
      <c r="B277" s="1">
        <v>276</v>
      </c>
      <c r="C277" s="1" t="s">
        <v>303</v>
      </c>
      <c r="D277">
        <f>IMAGE("https://raw.githubusercontent.com/stautonico/pokemon-home-pokedex/main/sprites/taillow.png", 2)</f>
        <v>0</v>
      </c>
      <c r="E277" s="29" t="s">
        <v>21</v>
      </c>
      <c r="F277" s="5"/>
    </row>
    <row r="278" spans="1:6" ht="72" customHeight="1">
      <c r="A278" s="1" t="s">
        <v>27</v>
      </c>
      <c r="B278" s="1">
        <v>277</v>
      </c>
      <c r="C278" s="1" t="s">
        <v>304</v>
      </c>
      <c r="D278">
        <f>IMAGE("https://raw.githubusercontent.com/stautonico/pokemon-home-pokedex/main/sprites/swellow.png", 2)</f>
        <v>0</v>
      </c>
      <c r="E278" s="29" t="s">
        <v>21</v>
      </c>
      <c r="F278" s="5"/>
    </row>
    <row r="279" spans="1:6" ht="72" customHeight="1">
      <c r="A279" s="1" t="s">
        <v>27</v>
      </c>
      <c r="B279" s="1">
        <v>278</v>
      </c>
      <c r="C279" s="1" t="s">
        <v>305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27</v>
      </c>
      <c r="B280" s="1">
        <v>279</v>
      </c>
      <c r="C280" s="1" t="s">
        <v>306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27</v>
      </c>
      <c r="B281" s="1">
        <v>280</v>
      </c>
      <c r="C281" s="1" t="s">
        <v>307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27</v>
      </c>
      <c r="B282" s="1">
        <v>281</v>
      </c>
      <c r="C282" s="1" t="s">
        <v>308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27</v>
      </c>
      <c r="B283" s="1">
        <v>282</v>
      </c>
      <c r="C283" s="1" t="s">
        <v>309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27</v>
      </c>
      <c r="B284" s="1">
        <v>283</v>
      </c>
      <c r="C284" s="1" t="s">
        <v>310</v>
      </c>
      <c r="D284">
        <f>IMAGE("https://raw.githubusercontent.com/stautonico/pokemon-home-pokedex/main/sprites/surskit.png", 2)</f>
        <v>0</v>
      </c>
      <c r="E284" s="29" t="s">
        <v>21</v>
      </c>
      <c r="F284" s="5"/>
    </row>
    <row r="285" spans="1:6" ht="72" customHeight="1">
      <c r="A285" s="1" t="s">
        <v>27</v>
      </c>
      <c r="B285" s="1">
        <v>284</v>
      </c>
      <c r="C285" s="1" t="s">
        <v>311</v>
      </c>
      <c r="D285">
        <f>IMAGE("https://raw.githubusercontent.com/stautonico/pokemon-home-pokedex/main/sprites/masquerain.png", 2)</f>
        <v>0</v>
      </c>
      <c r="E285" s="29" t="s">
        <v>21</v>
      </c>
      <c r="F285" s="5"/>
    </row>
    <row r="286" spans="1:6" ht="72" customHeight="1">
      <c r="A286" s="1" t="s">
        <v>27</v>
      </c>
      <c r="B286" s="1">
        <v>285</v>
      </c>
      <c r="C286" s="1" t="s">
        <v>312</v>
      </c>
      <c r="D286">
        <f>IMAGE("https://raw.githubusercontent.com/stautonico/pokemon-home-pokedex/main/sprites/shroomish.png", 2)</f>
        <v>0</v>
      </c>
      <c r="E286" s="29" t="s">
        <v>21</v>
      </c>
      <c r="F286" s="5"/>
    </row>
    <row r="287" spans="1:6" ht="72" customHeight="1">
      <c r="A287" s="1" t="s">
        <v>27</v>
      </c>
      <c r="B287" s="1">
        <v>286</v>
      </c>
      <c r="C287" s="1" t="s">
        <v>313</v>
      </c>
      <c r="D287">
        <f>IMAGE("https://raw.githubusercontent.com/stautonico/pokemon-home-pokedex/main/sprites/breloom.png", 2)</f>
        <v>0</v>
      </c>
      <c r="E287" s="29" t="s">
        <v>21</v>
      </c>
      <c r="F287" s="5"/>
    </row>
    <row r="288" spans="1:6" ht="72" customHeight="1">
      <c r="A288" s="1" t="s">
        <v>27</v>
      </c>
      <c r="B288" s="1">
        <v>287</v>
      </c>
      <c r="C288" s="1" t="s">
        <v>314</v>
      </c>
      <c r="D288">
        <f>IMAGE("https://raw.githubusercontent.com/stautonico/pokemon-home-pokedex/main/sprites/slakoth.png", 2)</f>
        <v>0</v>
      </c>
      <c r="E288" s="29" t="s">
        <v>21</v>
      </c>
      <c r="F288" s="5"/>
    </row>
    <row r="289" spans="1:6" ht="72" customHeight="1">
      <c r="A289" s="1" t="s">
        <v>27</v>
      </c>
      <c r="B289" s="1">
        <v>288</v>
      </c>
      <c r="C289" s="1" t="s">
        <v>315</v>
      </c>
      <c r="D289">
        <f>IMAGE("https://raw.githubusercontent.com/stautonico/pokemon-home-pokedex/main/sprites/vigoroth.png", 2)</f>
        <v>0</v>
      </c>
      <c r="E289" s="29" t="s">
        <v>21</v>
      </c>
      <c r="F289" s="5"/>
    </row>
    <row r="290" spans="1:6" ht="72" customHeight="1">
      <c r="A290" s="1" t="s">
        <v>27</v>
      </c>
      <c r="B290" s="1">
        <v>289</v>
      </c>
      <c r="C290" s="1" t="s">
        <v>316</v>
      </c>
      <c r="D290">
        <f>IMAGE("https://raw.githubusercontent.com/stautonico/pokemon-home-pokedex/main/sprites/slaking.png", 2)</f>
        <v>0</v>
      </c>
      <c r="E290" s="29" t="s">
        <v>21</v>
      </c>
      <c r="F290" s="5"/>
    </row>
    <row r="291" spans="1:6" ht="72" customHeight="1">
      <c r="A291" s="1" t="s">
        <v>27</v>
      </c>
      <c r="B291" s="1">
        <v>290</v>
      </c>
      <c r="C291" s="1" t="s">
        <v>317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27</v>
      </c>
      <c r="B292" s="1">
        <v>291</v>
      </c>
      <c r="C292" s="1" t="s">
        <v>318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27</v>
      </c>
      <c r="B293" s="1">
        <v>292</v>
      </c>
      <c r="C293" s="1" t="s">
        <v>319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27</v>
      </c>
      <c r="B294" s="1">
        <v>293</v>
      </c>
      <c r="C294" s="1" t="s">
        <v>320</v>
      </c>
      <c r="D294">
        <f>IMAGE("https://raw.githubusercontent.com/stautonico/pokemon-home-pokedex/main/sprites/whismur.png", 2)</f>
        <v>0</v>
      </c>
      <c r="E294" s="3" t="s">
        <v>12</v>
      </c>
      <c r="F294" s="29" t="s">
        <v>21</v>
      </c>
    </row>
    <row r="295" spans="1:6" ht="72" customHeight="1">
      <c r="A295" s="1" t="s">
        <v>27</v>
      </c>
      <c r="B295" s="1">
        <v>294</v>
      </c>
      <c r="C295" s="1" t="s">
        <v>321</v>
      </c>
      <c r="D295">
        <f>IMAGE("https://raw.githubusercontent.com/stautonico/pokemon-home-pokedex/main/sprites/loudred.png", 2)</f>
        <v>0</v>
      </c>
      <c r="E295" s="3" t="s">
        <v>12</v>
      </c>
      <c r="F295" s="29" t="s">
        <v>21</v>
      </c>
    </row>
    <row r="296" spans="1:6" ht="72" customHeight="1">
      <c r="A296" s="1" t="s">
        <v>27</v>
      </c>
      <c r="B296" s="1">
        <v>295</v>
      </c>
      <c r="C296" s="1" t="s">
        <v>322</v>
      </c>
      <c r="D296">
        <f>IMAGE("https://raw.githubusercontent.com/stautonico/pokemon-home-pokedex/main/sprites/exploud.png", 2)</f>
        <v>0</v>
      </c>
      <c r="E296" s="3" t="s">
        <v>12</v>
      </c>
      <c r="F296" s="29" t="s">
        <v>21</v>
      </c>
    </row>
    <row r="297" spans="1:6" ht="72" customHeight="1">
      <c r="A297" s="1" t="s">
        <v>27</v>
      </c>
      <c r="B297" s="1">
        <v>296</v>
      </c>
      <c r="C297" s="1" t="s">
        <v>323</v>
      </c>
      <c r="D297">
        <f>IMAGE("https://raw.githubusercontent.com/stautonico/pokemon-home-pokedex/main/sprites/makuhita.png", 2)</f>
        <v>0</v>
      </c>
      <c r="E297" s="29" t="s">
        <v>21</v>
      </c>
      <c r="F297" s="5"/>
    </row>
    <row r="298" spans="1:6" ht="72" customHeight="1">
      <c r="A298" s="1" t="s">
        <v>27</v>
      </c>
      <c r="B298" s="1">
        <v>297</v>
      </c>
      <c r="C298" s="1" t="s">
        <v>324</v>
      </c>
      <c r="D298">
        <f>IMAGE("https://raw.githubusercontent.com/stautonico/pokemon-home-pokedex/main/sprites/hariyama.png", 2)</f>
        <v>0</v>
      </c>
      <c r="E298" s="29" t="s">
        <v>21</v>
      </c>
      <c r="F298" s="5"/>
    </row>
    <row r="299" spans="1:6" ht="72" customHeight="1">
      <c r="A299" s="1" t="s">
        <v>27</v>
      </c>
      <c r="B299" s="1">
        <v>298</v>
      </c>
      <c r="C299" s="1" t="s">
        <v>325</v>
      </c>
      <c r="D299">
        <f>IMAGE("https://raw.githubusercontent.com/stautonico/pokemon-home-pokedex/main/sprites/azurill.png", 2)</f>
        <v>0</v>
      </c>
      <c r="E299" s="3" t="s">
        <v>12</v>
      </c>
      <c r="F299" s="29" t="s">
        <v>21</v>
      </c>
    </row>
    <row r="300" spans="1:6" ht="72" customHeight="1">
      <c r="A300" s="1" t="s">
        <v>27</v>
      </c>
      <c r="B300" s="1">
        <v>299</v>
      </c>
      <c r="C300" s="1" t="s">
        <v>326</v>
      </c>
      <c r="D300">
        <f>IMAGE("https://raw.githubusercontent.com/stautonico/pokemon-home-pokedex/main/sprites/nosepass.png", 2)</f>
        <v>0</v>
      </c>
      <c r="E300" s="29" t="s">
        <v>21</v>
      </c>
      <c r="F300" s="5"/>
    </row>
    <row r="301" spans="1:6" ht="72" customHeight="1">
      <c r="A301" s="1" t="s">
        <v>27</v>
      </c>
      <c r="B301" s="1">
        <v>300</v>
      </c>
      <c r="C301" s="1" t="s">
        <v>327</v>
      </c>
      <c r="D301">
        <f>IMAGE("https://raw.githubusercontent.com/stautonico/pokemon-home-pokedex/main/sprites/skitty.png", 2)</f>
        <v>0</v>
      </c>
      <c r="E301" s="29" t="s">
        <v>21</v>
      </c>
      <c r="F301" s="5"/>
    </row>
    <row r="302" spans="1:6" ht="72" customHeight="1">
      <c r="A302" s="1" t="s">
        <v>27</v>
      </c>
      <c r="B302" s="1">
        <v>301</v>
      </c>
      <c r="C302" s="1" t="s">
        <v>328</v>
      </c>
      <c r="D302">
        <f>IMAGE("https://raw.githubusercontent.com/stautonico/pokemon-home-pokedex/main/sprites/delcatty.png", 2)</f>
        <v>0</v>
      </c>
      <c r="E302" s="29" t="s">
        <v>21</v>
      </c>
      <c r="F302" s="5"/>
    </row>
    <row r="303" spans="1:6" ht="72" customHeight="1">
      <c r="A303" s="1" t="s">
        <v>27</v>
      </c>
      <c r="B303" s="1">
        <v>302</v>
      </c>
      <c r="C303" s="1" t="s">
        <v>329</v>
      </c>
      <c r="D303">
        <f>IMAGE("https://raw.githubusercontent.com/stautonico/pokemon-home-pokedex/main/sprites/sableye.png", 2)</f>
        <v>0</v>
      </c>
      <c r="E303" s="28" t="s">
        <v>15</v>
      </c>
      <c r="F303" s="24" t="s">
        <v>16</v>
      </c>
    </row>
    <row r="304" spans="1:6" ht="72" customHeight="1">
      <c r="A304" s="1" t="s">
        <v>27</v>
      </c>
      <c r="B304" s="1">
        <v>303</v>
      </c>
      <c r="C304" s="1" t="s">
        <v>330</v>
      </c>
      <c r="D304">
        <f>IMAGE("https://raw.githubusercontent.com/stautonico/pokemon-home-pokedex/main/sprites/mawile.png", 2)</f>
        <v>0</v>
      </c>
      <c r="E304" s="30" t="s">
        <v>14</v>
      </c>
      <c r="F304" s="24" t="s">
        <v>16</v>
      </c>
    </row>
    <row r="305" spans="1:6" ht="72" customHeight="1">
      <c r="A305" s="1" t="s">
        <v>27</v>
      </c>
      <c r="B305" s="1">
        <v>304</v>
      </c>
      <c r="C305" s="1" t="s">
        <v>331</v>
      </c>
      <c r="D305">
        <f>IMAGE("https://raw.githubusercontent.com/stautonico/pokemon-home-pokedex/main/sprites/aron.png", 2)</f>
        <v>0</v>
      </c>
      <c r="E305" s="29" t="s">
        <v>21</v>
      </c>
      <c r="F305" s="5"/>
    </row>
    <row r="306" spans="1:6" ht="72" customHeight="1">
      <c r="A306" s="1" t="s">
        <v>27</v>
      </c>
      <c r="B306" s="1">
        <v>305</v>
      </c>
      <c r="C306" s="1" t="s">
        <v>332</v>
      </c>
      <c r="D306">
        <f>IMAGE("https://raw.githubusercontent.com/stautonico/pokemon-home-pokedex/main/sprites/lairon.png", 2)</f>
        <v>0</v>
      </c>
      <c r="E306" s="29" t="s">
        <v>21</v>
      </c>
      <c r="F306" s="5"/>
    </row>
    <row r="307" spans="1:6" ht="72" customHeight="1">
      <c r="A307" s="1" t="s">
        <v>27</v>
      </c>
      <c r="B307" s="1">
        <v>306</v>
      </c>
      <c r="C307" s="1" t="s">
        <v>333</v>
      </c>
      <c r="D307">
        <f>IMAGE("https://raw.githubusercontent.com/stautonico/pokemon-home-pokedex/main/sprites/aggron.png", 2)</f>
        <v>0</v>
      </c>
      <c r="E307" s="29" t="s">
        <v>21</v>
      </c>
      <c r="F307" s="5"/>
    </row>
    <row r="308" spans="1:6" ht="72" customHeight="1">
      <c r="A308" s="1" t="s">
        <v>27</v>
      </c>
      <c r="B308" s="1">
        <v>307</v>
      </c>
      <c r="C308" s="1" t="s">
        <v>334</v>
      </c>
      <c r="D308">
        <f>IMAGE("https://raw.githubusercontent.com/stautonico/pokemon-home-pokedex/main/sprites/meditite.png", 2)</f>
        <v>0</v>
      </c>
      <c r="E308" s="29" t="s">
        <v>21</v>
      </c>
      <c r="F308" s="5"/>
    </row>
    <row r="309" spans="1:6" ht="72" customHeight="1">
      <c r="A309" s="1" t="s">
        <v>27</v>
      </c>
      <c r="B309" s="1">
        <v>308</v>
      </c>
      <c r="C309" s="1" t="s">
        <v>335</v>
      </c>
      <c r="D309">
        <f>IMAGE("https://raw.githubusercontent.com/stautonico/pokemon-home-pokedex/main/sprites/medicham.png", 2)</f>
        <v>0</v>
      </c>
      <c r="E309" s="29" t="s">
        <v>21</v>
      </c>
      <c r="F309" s="5"/>
    </row>
    <row r="310" spans="1:6" ht="72" customHeight="1">
      <c r="A310" s="1" t="s">
        <v>27</v>
      </c>
      <c r="B310" s="1">
        <v>309</v>
      </c>
      <c r="C310" s="1" t="s">
        <v>336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27</v>
      </c>
      <c r="B311" s="1">
        <v>310</v>
      </c>
      <c r="C311" s="1" t="s">
        <v>337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27</v>
      </c>
      <c r="B312" s="1">
        <v>311</v>
      </c>
      <c r="C312" s="1" t="s">
        <v>338</v>
      </c>
      <c r="D312">
        <f>IMAGE("https://raw.githubusercontent.com/stautonico/pokemon-home-pokedex/main/sprites/plusle.png", 2)</f>
        <v>0</v>
      </c>
      <c r="E312" s="29" t="s">
        <v>21</v>
      </c>
      <c r="F312" s="5"/>
    </row>
    <row r="313" spans="1:6" ht="72" customHeight="1">
      <c r="A313" s="1" t="s">
        <v>27</v>
      </c>
      <c r="B313" s="1">
        <v>312</v>
      </c>
      <c r="C313" s="1" t="s">
        <v>339</v>
      </c>
      <c r="D313">
        <f>IMAGE("https://raw.githubusercontent.com/stautonico/pokemon-home-pokedex/main/sprites/minun.png", 2)</f>
        <v>0</v>
      </c>
      <c r="E313" s="29" t="s">
        <v>21</v>
      </c>
      <c r="F313" s="5"/>
    </row>
    <row r="314" spans="1:6" ht="72" customHeight="1">
      <c r="A314" s="1" t="s">
        <v>27</v>
      </c>
      <c r="B314" s="1">
        <v>313</v>
      </c>
      <c r="C314" s="1" t="s">
        <v>340</v>
      </c>
      <c r="D314">
        <f>IMAGE("https://raw.githubusercontent.com/stautonico/pokemon-home-pokedex/main/sprites/volbeat.png", 2)</f>
        <v>0</v>
      </c>
      <c r="E314" s="29" t="s">
        <v>21</v>
      </c>
      <c r="F314" s="5"/>
    </row>
    <row r="315" spans="1:6" ht="72" customHeight="1">
      <c r="A315" s="1" t="s">
        <v>27</v>
      </c>
      <c r="B315" s="1">
        <v>314</v>
      </c>
      <c r="C315" s="1" t="s">
        <v>341</v>
      </c>
      <c r="D315">
        <f>IMAGE("https://raw.githubusercontent.com/stautonico/pokemon-home-pokedex/main/sprites/illumise.png", 2)</f>
        <v>0</v>
      </c>
      <c r="E315" s="29" t="s">
        <v>21</v>
      </c>
      <c r="F315" s="5"/>
    </row>
    <row r="316" spans="1:6" ht="72" customHeight="1">
      <c r="A316" s="1" t="s">
        <v>27</v>
      </c>
      <c r="B316" s="1">
        <v>315</v>
      </c>
      <c r="C316" s="1" t="s">
        <v>342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27</v>
      </c>
      <c r="B317" s="1">
        <v>316</v>
      </c>
      <c r="C317" s="1" t="s">
        <v>343</v>
      </c>
      <c r="D317">
        <f>IMAGE("https://raw.githubusercontent.com/stautonico/pokemon-home-pokedex/main/sprites/gulpin.png", 2)</f>
        <v>0</v>
      </c>
      <c r="E317" s="29" t="s">
        <v>21</v>
      </c>
      <c r="F317" s="5"/>
    </row>
    <row r="318" spans="1:6" ht="72" customHeight="1">
      <c r="A318" s="1" t="s">
        <v>27</v>
      </c>
      <c r="B318" s="1">
        <v>317</v>
      </c>
      <c r="C318" s="1" t="s">
        <v>344</v>
      </c>
      <c r="D318">
        <f>IMAGE("https://raw.githubusercontent.com/stautonico/pokemon-home-pokedex/main/sprites/swalot.png", 2)</f>
        <v>0</v>
      </c>
      <c r="E318" s="29" t="s">
        <v>21</v>
      </c>
      <c r="F318" s="5"/>
    </row>
    <row r="319" spans="1:6" ht="72" customHeight="1">
      <c r="A319" s="1" t="s">
        <v>27</v>
      </c>
      <c r="B319" s="1">
        <v>318</v>
      </c>
      <c r="C319" s="1" t="s">
        <v>345</v>
      </c>
      <c r="D319">
        <f>IMAGE("https://raw.githubusercontent.com/stautonico/pokemon-home-pokedex/main/sprites/carvanha.png", 2)</f>
        <v>0</v>
      </c>
      <c r="E319" s="3" t="s">
        <v>12</v>
      </c>
      <c r="F319" s="29" t="s">
        <v>21</v>
      </c>
    </row>
    <row r="320" spans="1:6" ht="72" customHeight="1">
      <c r="A320" s="1" t="s">
        <v>27</v>
      </c>
      <c r="B320" s="1">
        <v>319</v>
      </c>
      <c r="C320" s="1" t="s">
        <v>346</v>
      </c>
      <c r="D320">
        <f>IMAGE("https://raw.githubusercontent.com/stautonico/pokemon-home-pokedex/main/sprites/sharpedo.png", 2)</f>
        <v>0</v>
      </c>
      <c r="E320" s="3" t="s">
        <v>12</v>
      </c>
      <c r="F320" s="29" t="s">
        <v>21</v>
      </c>
    </row>
    <row r="321" spans="1:6" ht="72" customHeight="1">
      <c r="A321" s="1" t="s">
        <v>27</v>
      </c>
      <c r="B321" s="1">
        <v>320</v>
      </c>
      <c r="C321" s="1" t="s">
        <v>347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27</v>
      </c>
      <c r="B322" s="1">
        <v>321</v>
      </c>
      <c r="C322" s="1" t="s">
        <v>348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27</v>
      </c>
      <c r="B323" s="1">
        <v>322</v>
      </c>
      <c r="C323" s="1" t="s">
        <v>349</v>
      </c>
      <c r="D323">
        <f>IMAGE("https://raw.githubusercontent.com/stautonico/pokemon-home-pokedex/main/sprites/numel.png", 2)</f>
        <v>0</v>
      </c>
      <c r="E323" s="29" t="s">
        <v>21</v>
      </c>
      <c r="F323" s="5"/>
    </row>
    <row r="324" spans="1:6" ht="72" customHeight="1">
      <c r="A324" s="1" t="s">
        <v>27</v>
      </c>
      <c r="B324" s="1">
        <v>323</v>
      </c>
      <c r="C324" s="1" t="s">
        <v>350</v>
      </c>
      <c r="D324">
        <f>IMAGE("https://raw.githubusercontent.com/stautonico/pokemon-home-pokedex/main/sprites/camerupt.png", 2)</f>
        <v>0</v>
      </c>
      <c r="E324" s="29" t="s">
        <v>21</v>
      </c>
      <c r="F324" s="5"/>
    </row>
    <row r="325" spans="1:6" ht="72" customHeight="1">
      <c r="A325" s="1" t="s">
        <v>27</v>
      </c>
      <c r="B325" s="1">
        <v>324</v>
      </c>
      <c r="C325" s="1" t="s">
        <v>351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27</v>
      </c>
      <c r="B326" s="1">
        <v>325</v>
      </c>
      <c r="C326" s="1" t="s">
        <v>352</v>
      </c>
      <c r="D326">
        <f>IMAGE("https://raw.githubusercontent.com/stautonico/pokemon-home-pokedex/main/sprites/spoink.png", 2)</f>
        <v>0</v>
      </c>
      <c r="E326" s="29" t="s">
        <v>21</v>
      </c>
      <c r="F326" s="5"/>
    </row>
    <row r="327" spans="1:6" ht="72" customHeight="1">
      <c r="A327" s="1" t="s">
        <v>27</v>
      </c>
      <c r="B327" s="1">
        <v>326</v>
      </c>
      <c r="C327" s="1" t="s">
        <v>353</v>
      </c>
      <c r="D327">
        <f>IMAGE("https://raw.githubusercontent.com/stautonico/pokemon-home-pokedex/main/sprites/grumpig.png", 2)</f>
        <v>0</v>
      </c>
      <c r="E327" s="29" t="s">
        <v>21</v>
      </c>
      <c r="F327" s="5"/>
    </row>
    <row r="328" spans="1:6" ht="72" customHeight="1">
      <c r="A328" s="1" t="s">
        <v>27</v>
      </c>
      <c r="B328" s="1">
        <v>327</v>
      </c>
      <c r="C328" s="1" t="s">
        <v>354</v>
      </c>
      <c r="D328">
        <f>IMAGE("https://raw.githubusercontent.com/stautonico/pokemon-home-pokedex/main/sprites/spinda.png", 2)</f>
        <v>0</v>
      </c>
      <c r="E328" s="29" t="s">
        <v>21</v>
      </c>
      <c r="F328" s="5"/>
    </row>
    <row r="329" spans="1:6" ht="72" customHeight="1">
      <c r="A329" s="1" t="s">
        <v>27</v>
      </c>
      <c r="B329" s="1">
        <v>328</v>
      </c>
      <c r="C329" s="1" t="s">
        <v>355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27</v>
      </c>
      <c r="B330" s="1">
        <v>329</v>
      </c>
      <c r="C330" s="1" t="s">
        <v>356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27</v>
      </c>
      <c r="B331" s="1">
        <v>330</v>
      </c>
      <c r="C331" s="1" t="s">
        <v>357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27</v>
      </c>
      <c r="B332" s="1">
        <v>331</v>
      </c>
      <c r="C332" s="1" t="s">
        <v>358</v>
      </c>
      <c r="D332">
        <f>IMAGE("https://raw.githubusercontent.com/stautonico/pokemon-home-pokedex/main/sprites/cacnea.png", 2)</f>
        <v>0</v>
      </c>
      <c r="E332" s="29" t="s">
        <v>21</v>
      </c>
      <c r="F332" s="5"/>
    </row>
    <row r="333" spans="1:6" ht="72" customHeight="1">
      <c r="A333" s="1" t="s">
        <v>27</v>
      </c>
      <c r="B333" s="1">
        <v>332</v>
      </c>
      <c r="C333" s="1" t="s">
        <v>359</v>
      </c>
      <c r="D333">
        <f>IMAGE("https://raw.githubusercontent.com/stautonico/pokemon-home-pokedex/main/sprites/cacturne.png", 2)</f>
        <v>0</v>
      </c>
      <c r="E333" s="29" t="s">
        <v>21</v>
      </c>
      <c r="F333" s="5"/>
    </row>
    <row r="334" spans="1:6" ht="72" customHeight="1">
      <c r="A334" s="1" t="s">
        <v>27</v>
      </c>
      <c r="B334" s="1">
        <v>333</v>
      </c>
      <c r="C334" s="1" t="s">
        <v>360</v>
      </c>
      <c r="D334">
        <f>IMAGE("https://raw.githubusercontent.com/stautonico/pokemon-home-pokedex/main/sprites/swablu.png", 2)</f>
        <v>0</v>
      </c>
      <c r="E334" s="29" t="s">
        <v>21</v>
      </c>
      <c r="F334" s="5"/>
    </row>
    <row r="335" spans="1:6" ht="72" customHeight="1">
      <c r="A335" s="1" t="s">
        <v>27</v>
      </c>
      <c r="B335" s="1">
        <v>334</v>
      </c>
      <c r="C335" s="1" t="s">
        <v>361</v>
      </c>
      <c r="D335">
        <f>IMAGE("https://raw.githubusercontent.com/stautonico/pokemon-home-pokedex/main/sprites/altaria.png", 2)</f>
        <v>0</v>
      </c>
      <c r="E335" s="29" t="s">
        <v>21</v>
      </c>
      <c r="F335" s="5"/>
    </row>
    <row r="336" spans="1:6" ht="72" customHeight="1">
      <c r="A336" s="1" t="s">
        <v>27</v>
      </c>
      <c r="B336" s="1">
        <v>335</v>
      </c>
      <c r="C336" s="1" t="s">
        <v>362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27</v>
      </c>
      <c r="B337" s="1">
        <v>336</v>
      </c>
      <c r="C337" s="1" t="s">
        <v>363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27</v>
      </c>
      <c r="B338" s="1">
        <v>337</v>
      </c>
      <c r="C338" s="1" t="s">
        <v>364</v>
      </c>
      <c r="D338">
        <f>IMAGE("https://raw.githubusercontent.com/stautonico/pokemon-home-pokedex/main/sprites/lunatone.png", 2)</f>
        <v>0</v>
      </c>
      <c r="E338" s="28" t="s">
        <v>15</v>
      </c>
      <c r="F338" s="24" t="s">
        <v>16</v>
      </c>
    </row>
    <row r="339" spans="1:6" ht="72" customHeight="1">
      <c r="A339" s="1" t="s">
        <v>27</v>
      </c>
      <c r="B339" s="1">
        <v>338</v>
      </c>
      <c r="C339" s="1" t="s">
        <v>365</v>
      </c>
      <c r="D339">
        <f>IMAGE("https://raw.githubusercontent.com/stautonico/pokemon-home-pokedex/main/sprites/solrock.png", 2)</f>
        <v>0</v>
      </c>
      <c r="E339" s="30" t="s">
        <v>14</v>
      </c>
      <c r="F339" s="24" t="s">
        <v>16</v>
      </c>
    </row>
    <row r="340" spans="1:6" ht="72" customHeight="1">
      <c r="A340" s="1" t="s">
        <v>27</v>
      </c>
      <c r="B340" s="1">
        <v>339</v>
      </c>
      <c r="C340" s="1" t="s">
        <v>366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27</v>
      </c>
      <c r="B341" s="1">
        <v>340</v>
      </c>
      <c r="C341" s="1" t="s">
        <v>367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27</v>
      </c>
      <c r="B342" s="1">
        <v>341</v>
      </c>
      <c r="C342" s="1" t="s">
        <v>368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27</v>
      </c>
      <c r="B343" s="1">
        <v>342</v>
      </c>
      <c r="C343" s="1" t="s">
        <v>369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27</v>
      </c>
      <c r="B344" s="1">
        <v>343</v>
      </c>
      <c r="C344" s="1" t="s">
        <v>370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27</v>
      </c>
      <c r="B345" s="1">
        <v>344</v>
      </c>
      <c r="C345" s="1" t="s">
        <v>371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27</v>
      </c>
      <c r="B346" s="1">
        <v>345</v>
      </c>
      <c r="C346" s="1" t="s">
        <v>372</v>
      </c>
      <c r="D346">
        <f>IMAGE("https://raw.githubusercontent.com/stautonico/pokemon-home-pokedex/main/sprites/lileep.png", 2)</f>
        <v>0</v>
      </c>
      <c r="E346" s="29" t="s">
        <v>21</v>
      </c>
      <c r="F346" s="5" t="s">
        <v>373</v>
      </c>
    </row>
    <row r="347" spans="1:6" ht="72" customHeight="1">
      <c r="A347" s="1" t="s">
        <v>27</v>
      </c>
      <c r="B347" s="1">
        <v>346</v>
      </c>
      <c r="C347" s="1" t="s">
        <v>374</v>
      </c>
      <c r="D347">
        <f>IMAGE("https://raw.githubusercontent.com/stautonico/pokemon-home-pokedex/main/sprites/cradily.png", 2)</f>
        <v>0</v>
      </c>
      <c r="E347" s="29" t="s">
        <v>21</v>
      </c>
      <c r="F347" s="5" t="s">
        <v>373</v>
      </c>
    </row>
    <row r="348" spans="1:6" ht="72" customHeight="1">
      <c r="A348" s="1" t="s">
        <v>27</v>
      </c>
      <c r="B348" s="1">
        <v>347</v>
      </c>
      <c r="C348" s="1" t="s">
        <v>375</v>
      </c>
      <c r="D348">
        <f>IMAGE("https://raw.githubusercontent.com/stautonico/pokemon-home-pokedex/main/sprites/anorith.png", 2)</f>
        <v>0</v>
      </c>
      <c r="E348" s="29" t="s">
        <v>21</v>
      </c>
      <c r="F348" s="5" t="s">
        <v>373</v>
      </c>
    </row>
    <row r="349" spans="1:6" ht="72" customHeight="1">
      <c r="A349" s="1" t="s">
        <v>27</v>
      </c>
      <c r="B349" s="1">
        <v>348</v>
      </c>
      <c r="C349" s="1" t="s">
        <v>376</v>
      </c>
      <c r="D349">
        <f>IMAGE("https://raw.githubusercontent.com/stautonico/pokemon-home-pokedex/main/sprites/armaldo.png", 2)</f>
        <v>0</v>
      </c>
      <c r="E349" s="29" t="s">
        <v>21</v>
      </c>
      <c r="F349" s="5" t="s">
        <v>373</v>
      </c>
    </row>
    <row r="350" spans="1:6" ht="72" customHeight="1">
      <c r="A350" s="1" t="s">
        <v>27</v>
      </c>
      <c r="B350" s="1">
        <v>349</v>
      </c>
      <c r="C350" s="1" t="s">
        <v>377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27</v>
      </c>
      <c r="B351" s="1">
        <v>350</v>
      </c>
      <c r="C351" s="1" t="s">
        <v>378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27</v>
      </c>
      <c r="B352" s="1">
        <v>351</v>
      </c>
      <c r="C352" s="1" t="s">
        <v>379</v>
      </c>
      <c r="D352">
        <f>IMAGE("https://raw.githubusercontent.com/stautonico/pokemon-home-pokedex/main/sprites/castform.png", 2)</f>
        <v>0</v>
      </c>
      <c r="E352" s="29" t="s">
        <v>21</v>
      </c>
      <c r="F352" s="5"/>
    </row>
    <row r="353" spans="1:6" ht="72" customHeight="1">
      <c r="A353" s="1" t="s">
        <v>27</v>
      </c>
      <c r="B353" s="1">
        <v>352</v>
      </c>
      <c r="C353" s="1" t="s">
        <v>380</v>
      </c>
      <c r="D353">
        <f>IMAGE("https://raw.githubusercontent.com/stautonico/pokemon-home-pokedex/main/sprites/kecleon.png", 2)</f>
        <v>0</v>
      </c>
      <c r="E353" s="29" t="s">
        <v>21</v>
      </c>
      <c r="F353" s="5"/>
    </row>
    <row r="354" spans="1:6" ht="72" customHeight="1">
      <c r="A354" s="1" t="s">
        <v>27</v>
      </c>
      <c r="B354" s="1">
        <v>353</v>
      </c>
      <c r="C354" s="1" t="s">
        <v>381</v>
      </c>
      <c r="D354">
        <f>IMAGE("https://raw.githubusercontent.com/stautonico/pokemon-home-pokedex/main/sprites/shuppet.png", 2)</f>
        <v>0</v>
      </c>
      <c r="E354" s="29" t="s">
        <v>21</v>
      </c>
      <c r="F354" s="5"/>
    </row>
    <row r="355" spans="1:6" ht="72" customHeight="1">
      <c r="A355" s="1" t="s">
        <v>27</v>
      </c>
      <c r="B355" s="1">
        <v>354</v>
      </c>
      <c r="C355" s="1" t="s">
        <v>382</v>
      </c>
      <c r="D355">
        <f>IMAGE("https://raw.githubusercontent.com/stautonico/pokemon-home-pokedex/main/sprites/banette.png", 2)</f>
        <v>0</v>
      </c>
      <c r="E355" s="29" t="s">
        <v>21</v>
      </c>
      <c r="F355" s="5"/>
    </row>
    <row r="356" spans="1:6" ht="72" customHeight="1">
      <c r="A356" s="1" t="s">
        <v>27</v>
      </c>
      <c r="B356" s="1">
        <v>355</v>
      </c>
      <c r="C356" s="1" t="s">
        <v>383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27</v>
      </c>
      <c r="B357" s="1">
        <v>356</v>
      </c>
      <c r="C357" s="1" t="s">
        <v>384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27</v>
      </c>
      <c r="B358" s="1">
        <v>357</v>
      </c>
      <c r="C358" s="1" t="s">
        <v>385</v>
      </c>
      <c r="D358">
        <f>IMAGE("https://raw.githubusercontent.com/stautonico/pokemon-home-pokedex/main/sprites/tropius.png", 2)</f>
        <v>0</v>
      </c>
      <c r="E358" s="29" t="s">
        <v>21</v>
      </c>
      <c r="F358" s="5"/>
    </row>
    <row r="359" spans="1:6" ht="72" customHeight="1">
      <c r="A359" s="1" t="s">
        <v>27</v>
      </c>
      <c r="B359" s="1">
        <v>358</v>
      </c>
      <c r="C359" s="1" t="s">
        <v>386</v>
      </c>
      <c r="D359">
        <f>IMAGE("https://raw.githubusercontent.com/stautonico/pokemon-home-pokedex/main/sprites/chimecho.png", 2)</f>
        <v>0</v>
      </c>
      <c r="E359" s="29" t="s">
        <v>21</v>
      </c>
      <c r="F359" s="5"/>
    </row>
    <row r="360" spans="1:6" ht="72" customHeight="1">
      <c r="A360" s="1" t="s">
        <v>27</v>
      </c>
      <c r="B360" s="1">
        <v>359</v>
      </c>
      <c r="C360" s="1" t="s">
        <v>387</v>
      </c>
      <c r="D360">
        <f>IMAGE("https://raw.githubusercontent.com/stautonico/pokemon-home-pokedex/main/sprites/absol.png", 2)</f>
        <v>0</v>
      </c>
      <c r="E360" s="29" t="s">
        <v>21</v>
      </c>
      <c r="F360" s="5"/>
    </row>
    <row r="361" spans="1:6" ht="72" customHeight="1">
      <c r="A361" s="1" t="s">
        <v>27</v>
      </c>
      <c r="B361" s="1">
        <v>360</v>
      </c>
      <c r="C361" s="1" t="s">
        <v>388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27</v>
      </c>
      <c r="B362" s="1">
        <v>361</v>
      </c>
      <c r="C362" s="1" t="s">
        <v>389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27</v>
      </c>
      <c r="B363" s="1">
        <v>362</v>
      </c>
      <c r="C363" s="1" t="s">
        <v>390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27</v>
      </c>
      <c r="B364" s="1">
        <v>363</v>
      </c>
      <c r="C364" s="1" t="s">
        <v>391</v>
      </c>
      <c r="D364">
        <f>IMAGE("https://raw.githubusercontent.com/stautonico/pokemon-home-pokedex/main/sprites/spheal.png", 2)</f>
        <v>0</v>
      </c>
      <c r="E364" s="29" t="s">
        <v>21</v>
      </c>
      <c r="F364" s="5"/>
    </row>
    <row r="365" spans="1:6" ht="72" customHeight="1">
      <c r="A365" s="1" t="s">
        <v>27</v>
      </c>
      <c r="B365" s="1">
        <v>364</v>
      </c>
      <c r="C365" s="1" t="s">
        <v>392</v>
      </c>
      <c r="D365">
        <f>IMAGE("https://raw.githubusercontent.com/stautonico/pokemon-home-pokedex/main/sprites/sealeo.png", 2)</f>
        <v>0</v>
      </c>
      <c r="E365" s="29" t="s">
        <v>21</v>
      </c>
      <c r="F365" s="5"/>
    </row>
    <row r="366" spans="1:6" ht="72" customHeight="1">
      <c r="A366" s="1" t="s">
        <v>27</v>
      </c>
      <c r="B366" s="1">
        <v>365</v>
      </c>
      <c r="C366" s="1" t="s">
        <v>393</v>
      </c>
      <c r="D366">
        <f>IMAGE("https://raw.githubusercontent.com/stautonico/pokemon-home-pokedex/main/sprites/walrein.png", 2)</f>
        <v>0</v>
      </c>
      <c r="E366" s="29" t="s">
        <v>21</v>
      </c>
      <c r="F366" s="5"/>
    </row>
    <row r="367" spans="1:6" ht="72" customHeight="1">
      <c r="A367" s="1" t="s">
        <v>27</v>
      </c>
      <c r="B367" s="1">
        <v>366</v>
      </c>
      <c r="C367" s="1" t="s">
        <v>394</v>
      </c>
      <c r="D367">
        <f>IMAGE("https://raw.githubusercontent.com/stautonico/pokemon-home-pokedex/main/sprites/clamperl.png", 2)</f>
        <v>0</v>
      </c>
      <c r="E367" s="27" t="s">
        <v>17</v>
      </c>
      <c r="F367" s="29" t="s">
        <v>21</v>
      </c>
    </row>
    <row r="368" spans="1:6" ht="72" customHeight="1">
      <c r="A368" s="1" t="s">
        <v>27</v>
      </c>
      <c r="B368" s="1">
        <v>367</v>
      </c>
      <c r="C368" s="1" t="s">
        <v>395</v>
      </c>
      <c r="D368">
        <f>IMAGE("https://raw.githubusercontent.com/stautonico/pokemon-home-pokedex/main/sprites/huntail.png", 2)</f>
        <v>0</v>
      </c>
      <c r="E368" s="27" t="s">
        <v>17</v>
      </c>
      <c r="F368" s="29" t="s">
        <v>21</v>
      </c>
    </row>
    <row r="369" spans="1:6" ht="72" customHeight="1">
      <c r="A369" s="1" t="s">
        <v>27</v>
      </c>
      <c r="B369" s="1">
        <v>368</v>
      </c>
      <c r="C369" s="1" t="s">
        <v>396</v>
      </c>
      <c r="D369">
        <f>IMAGE("https://raw.githubusercontent.com/stautonico/pokemon-home-pokedex/main/sprites/gorebyss.png", 2)</f>
        <v>0</v>
      </c>
      <c r="E369" s="27" t="s">
        <v>17</v>
      </c>
      <c r="F369" s="29" t="s">
        <v>21</v>
      </c>
    </row>
    <row r="370" spans="1:6" ht="72" customHeight="1">
      <c r="A370" s="1" t="s">
        <v>27</v>
      </c>
      <c r="B370" s="1">
        <v>369</v>
      </c>
      <c r="C370" s="1" t="s">
        <v>397</v>
      </c>
      <c r="D370">
        <f>IMAGE("https://raw.githubusercontent.com/stautonico/pokemon-home-pokedex/main/sprites/relicanth.png", 2)</f>
        <v>0</v>
      </c>
      <c r="E370" s="29" t="s">
        <v>21</v>
      </c>
      <c r="F370" s="5"/>
    </row>
    <row r="371" spans="1:6" ht="72" customHeight="1">
      <c r="A371" s="1" t="s">
        <v>27</v>
      </c>
      <c r="B371" s="1">
        <v>370</v>
      </c>
      <c r="C371" s="1" t="s">
        <v>398</v>
      </c>
      <c r="D371">
        <f>IMAGE("https://raw.githubusercontent.com/stautonico/pokemon-home-pokedex/main/sprites/luvdisc.png", 2)</f>
        <v>0</v>
      </c>
      <c r="E371" s="29" t="s">
        <v>21</v>
      </c>
      <c r="F371" s="5"/>
    </row>
    <row r="372" spans="1:6" ht="72" customHeight="1">
      <c r="A372" s="1" t="s">
        <v>27</v>
      </c>
      <c r="B372" s="1">
        <v>371</v>
      </c>
      <c r="C372" s="1" t="s">
        <v>399</v>
      </c>
      <c r="D372">
        <f>IMAGE("https://raw.githubusercontent.com/stautonico/pokemon-home-pokedex/main/sprites/bagon.png", 2)</f>
        <v>0</v>
      </c>
      <c r="E372" s="29" t="s">
        <v>21</v>
      </c>
      <c r="F372" s="5"/>
    </row>
    <row r="373" spans="1:6" ht="72" customHeight="1">
      <c r="A373" s="1" t="s">
        <v>27</v>
      </c>
      <c r="B373" s="1">
        <v>372</v>
      </c>
      <c r="C373" s="1" t="s">
        <v>400</v>
      </c>
      <c r="D373">
        <f>IMAGE("https://raw.githubusercontent.com/stautonico/pokemon-home-pokedex/main/sprites/shelgon.png", 2)</f>
        <v>0</v>
      </c>
      <c r="E373" s="29" t="s">
        <v>21</v>
      </c>
      <c r="F373" s="5"/>
    </row>
    <row r="374" spans="1:6" ht="72" customHeight="1">
      <c r="A374" s="1" t="s">
        <v>27</v>
      </c>
      <c r="B374" s="1">
        <v>373</v>
      </c>
      <c r="C374" s="1" t="s">
        <v>401</v>
      </c>
      <c r="D374">
        <f>IMAGE("https://raw.githubusercontent.com/stautonico/pokemon-home-pokedex/main/sprites/salamence.png", 2)</f>
        <v>0</v>
      </c>
      <c r="E374" s="29" t="s">
        <v>21</v>
      </c>
      <c r="F374" s="5"/>
    </row>
    <row r="375" spans="1:6" ht="72" customHeight="1">
      <c r="A375" s="1" t="s">
        <v>27</v>
      </c>
      <c r="B375" s="1">
        <v>374</v>
      </c>
      <c r="C375" s="1" t="s">
        <v>402</v>
      </c>
      <c r="D375">
        <f>IMAGE("https://raw.githubusercontent.com/stautonico/pokemon-home-pokedex/main/sprites/beldum.png", 2)</f>
        <v>0</v>
      </c>
      <c r="E375" s="29" t="s">
        <v>21</v>
      </c>
      <c r="F375" s="5"/>
    </row>
    <row r="376" spans="1:6" ht="72" customHeight="1">
      <c r="A376" s="1" t="s">
        <v>27</v>
      </c>
      <c r="B376" s="1">
        <v>375</v>
      </c>
      <c r="C376" s="1" t="s">
        <v>403</v>
      </c>
      <c r="D376">
        <f>IMAGE("https://raw.githubusercontent.com/stautonico/pokemon-home-pokedex/main/sprites/metang.png", 2)</f>
        <v>0</v>
      </c>
      <c r="E376" s="29" t="s">
        <v>21</v>
      </c>
      <c r="F376" s="5"/>
    </row>
    <row r="377" spans="1:6" ht="72" customHeight="1">
      <c r="A377" s="1" t="s">
        <v>27</v>
      </c>
      <c r="B377" s="1">
        <v>376</v>
      </c>
      <c r="C377" s="1" t="s">
        <v>404</v>
      </c>
      <c r="D377">
        <f>IMAGE("https://raw.githubusercontent.com/stautonico/pokemon-home-pokedex/main/sprites/metagross.png", 2)</f>
        <v>0</v>
      </c>
      <c r="E377" s="29" t="s">
        <v>21</v>
      </c>
      <c r="F377" s="5"/>
    </row>
    <row r="378" spans="1:6" ht="72" customHeight="1">
      <c r="A378" s="1" t="s">
        <v>27</v>
      </c>
      <c r="B378" s="1">
        <v>377</v>
      </c>
      <c r="C378" s="1" t="s">
        <v>405</v>
      </c>
      <c r="D378">
        <f>IMAGE("https://raw.githubusercontent.com/stautonico/pokemon-home-pokedex/main/sprites/regirock.png", 2)</f>
        <v>0</v>
      </c>
      <c r="E378" s="29" t="s">
        <v>21</v>
      </c>
      <c r="F378" s="5"/>
    </row>
    <row r="379" spans="1:6" ht="72" customHeight="1">
      <c r="A379" s="1" t="s">
        <v>27</v>
      </c>
      <c r="B379" s="1">
        <v>378</v>
      </c>
      <c r="C379" s="1" t="s">
        <v>406</v>
      </c>
      <c r="D379">
        <f>IMAGE("https://raw.githubusercontent.com/stautonico/pokemon-home-pokedex/main/sprites/regice.png", 2)</f>
        <v>0</v>
      </c>
      <c r="E379" s="29" t="s">
        <v>21</v>
      </c>
      <c r="F379" s="5"/>
    </row>
    <row r="380" spans="1:6" ht="72" customHeight="1">
      <c r="A380" s="1" t="s">
        <v>27</v>
      </c>
      <c r="B380" s="1">
        <v>379</v>
      </c>
      <c r="C380" s="1" t="s">
        <v>407</v>
      </c>
      <c r="D380">
        <f>IMAGE("https://raw.githubusercontent.com/stautonico/pokemon-home-pokedex/main/sprites/registeel.png", 2)</f>
        <v>0</v>
      </c>
      <c r="E380" s="29" t="s">
        <v>21</v>
      </c>
      <c r="F380" s="5"/>
    </row>
    <row r="381" spans="1:6" ht="72" customHeight="1">
      <c r="A381" s="1" t="s">
        <v>27</v>
      </c>
      <c r="B381" s="1">
        <v>380</v>
      </c>
      <c r="C381" s="1" t="s">
        <v>408</v>
      </c>
      <c r="D381">
        <f>IMAGE("https://raw.githubusercontent.com/stautonico/pokemon-home-pokedex/main/sprites/latias.png", 2)</f>
        <v>0</v>
      </c>
      <c r="E381" s="29" t="s">
        <v>21</v>
      </c>
      <c r="F381" s="5"/>
    </row>
    <row r="382" spans="1:6" ht="72" customHeight="1">
      <c r="A382" s="1" t="s">
        <v>27</v>
      </c>
      <c r="B382" s="1">
        <v>381</v>
      </c>
      <c r="C382" s="1" t="s">
        <v>409</v>
      </c>
      <c r="D382">
        <f>IMAGE("https://raw.githubusercontent.com/stautonico/pokemon-home-pokedex/main/sprites/latios.png", 2)</f>
        <v>0</v>
      </c>
      <c r="E382" s="29" t="s">
        <v>21</v>
      </c>
      <c r="F382" s="5"/>
    </row>
    <row r="383" spans="1:6" ht="72" customHeight="1">
      <c r="A383" s="1" t="s">
        <v>27</v>
      </c>
      <c r="B383" s="1">
        <v>382</v>
      </c>
      <c r="C383" s="1" t="s">
        <v>410</v>
      </c>
      <c r="D383">
        <f>IMAGE("https://raw.githubusercontent.com/stautonico/pokemon-home-pokedex/main/sprites/kyogre.png", 2)</f>
        <v>0</v>
      </c>
      <c r="E383" s="29" t="s">
        <v>21</v>
      </c>
      <c r="F383" s="5"/>
    </row>
    <row r="384" spans="1:6" ht="72" customHeight="1">
      <c r="A384" s="1" t="s">
        <v>27</v>
      </c>
      <c r="B384" s="1">
        <v>383</v>
      </c>
      <c r="C384" s="1" t="s">
        <v>411</v>
      </c>
      <c r="D384">
        <f>IMAGE("https://raw.githubusercontent.com/stautonico/pokemon-home-pokedex/main/sprites/groudon.png", 2)</f>
        <v>0</v>
      </c>
      <c r="E384" s="29" t="s">
        <v>21</v>
      </c>
      <c r="F384" s="5"/>
    </row>
    <row r="385" spans="1:6" ht="72" customHeight="1">
      <c r="A385" s="1" t="s">
        <v>27</v>
      </c>
      <c r="B385" s="1">
        <v>384</v>
      </c>
      <c r="C385" s="1" t="s">
        <v>412</v>
      </c>
      <c r="D385">
        <f>IMAGE("https://raw.githubusercontent.com/stautonico/pokemon-home-pokedex/main/sprites/rayquaza.png", 2)</f>
        <v>0</v>
      </c>
      <c r="E385" s="29" t="s">
        <v>21</v>
      </c>
      <c r="F385" s="5"/>
    </row>
    <row r="386" spans="1:6" ht="72" customHeight="1">
      <c r="A386" s="1" t="s">
        <v>27</v>
      </c>
      <c r="B386" s="1">
        <v>385</v>
      </c>
      <c r="C386" s="1" t="s">
        <v>413</v>
      </c>
      <c r="D386">
        <f>IMAGE("https://raw.githubusercontent.com/stautonico/pokemon-home-pokedex/main/sprites/jirachi.png", 2)</f>
        <v>0</v>
      </c>
      <c r="E386" s="32" t="s">
        <v>24</v>
      </c>
      <c r="F386" s="5"/>
    </row>
    <row r="387" spans="1:6" ht="72" customHeight="1">
      <c r="A387" s="1" t="s">
        <v>27</v>
      </c>
      <c r="B387" s="1">
        <v>386</v>
      </c>
      <c r="C387" s="1" t="s">
        <v>414</v>
      </c>
      <c r="D387">
        <f>IMAGE("https://raw.githubusercontent.com/stautonico/pokemon-home-pokedex/main/sprites/deoxys.png", 2)</f>
        <v>0</v>
      </c>
      <c r="E387" s="29" t="s">
        <v>21</v>
      </c>
      <c r="F387" s="5"/>
    </row>
    <row r="388" spans="1:6" ht="72" customHeight="1">
      <c r="A388" s="1" t="s">
        <v>27</v>
      </c>
      <c r="B388" s="1">
        <v>387</v>
      </c>
      <c r="C388" s="1" t="s">
        <v>415</v>
      </c>
      <c r="D388">
        <f>IMAGE("https://raw.githubusercontent.com/stautonico/pokemon-home-pokedex/main/sprites/turtwig.png", 2)</f>
        <v>0</v>
      </c>
      <c r="E388" s="27" t="s">
        <v>17</v>
      </c>
      <c r="F388" s="5"/>
    </row>
    <row r="389" spans="1:6" ht="72" customHeight="1">
      <c r="A389" s="1" t="s">
        <v>27</v>
      </c>
      <c r="B389" s="1">
        <v>388</v>
      </c>
      <c r="C389" s="1" t="s">
        <v>416</v>
      </c>
      <c r="D389">
        <f>IMAGE("https://raw.githubusercontent.com/stautonico/pokemon-home-pokedex/main/sprites/grotle.png", 2)</f>
        <v>0</v>
      </c>
      <c r="E389" s="27" t="s">
        <v>17</v>
      </c>
      <c r="F389" s="5"/>
    </row>
    <row r="390" spans="1:6" ht="72" customHeight="1">
      <c r="A390" s="1" t="s">
        <v>27</v>
      </c>
      <c r="B390" s="1">
        <v>389</v>
      </c>
      <c r="C390" s="1" t="s">
        <v>417</v>
      </c>
      <c r="D390">
        <f>IMAGE("https://raw.githubusercontent.com/stautonico/pokemon-home-pokedex/main/sprites/torterra.png", 2)</f>
        <v>0</v>
      </c>
      <c r="E390" s="27" t="s">
        <v>17</v>
      </c>
      <c r="F390" s="5"/>
    </row>
    <row r="391" spans="1:6" ht="72" customHeight="1">
      <c r="A391" s="1" t="s">
        <v>27</v>
      </c>
      <c r="B391" s="1">
        <v>390</v>
      </c>
      <c r="C391" s="1" t="s">
        <v>418</v>
      </c>
      <c r="D391">
        <f>IMAGE("https://raw.githubusercontent.com/stautonico/pokemon-home-pokedex/main/sprites/chimchar.png", 2)</f>
        <v>0</v>
      </c>
      <c r="E391" s="27" t="s">
        <v>17</v>
      </c>
      <c r="F391" s="5"/>
    </row>
    <row r="392" spans="1:6" ht="72" customHeight="1">
      <c r="A392" s="1" t="s">
        <v>27</v>
      </c>
      <c r="B392" s="1">
        <v>391</v>
      </c>
      <c r="C392" s="1" t="s">
        <v>419</v>
      </c>
      <c r="D392">
        <f>IMAGE("https://raw.githubusercontent.com/stautonico/pokemon-home-pokedex/main/sprites/monferno.png", 2)</f>
        <v>0</v>
      </c>
      <c r="E392" s="27" t="s">
        <v>17</v>
      </c>
      <c r="F392" s="5"/>
    </row>
    <row r="393" spans="1:6" ht="72" customHeight="1">
      <c r="A393" s="1" t="s">
        <v>27</v>
      </c>
      <c r="B393" s="1">
        <v>392</v>
      </c>
      <c r="C393" s="1" t="s">
        <v>420</v>
      </c>
      <c r="D393">
        <f>IMAGE("https://raw.githubusercontent.com/stautonico/pokemon-home-pokedex/main/sprites/infernape.png", 2)</f>
        <v>0</v>
      </c>
      <c r="E393" s="27" t="s">
        <v>17</v>
      </c>
      <c r="F393" s="5"/>
    </row>
    <row r="394" spans="1:6" ht="72" customHeight="1">
      <c r="A394" s="1" t="s">
        <v>27</v>
      </c>
      <c r="B394" s="1">
        <v>393</v>
      </c>
      <c r="C394" s="1" t="s">
        <v>421</v>
      </c>
      <c r="D394">
        <f>IMAGE("https://raw.githubusercontent.com/stautonico/pokemon-home-pokedex/main/sprites/piplup.png", 2)</f>
        <v>0</v>
      </c>
      <c r="E394" s="27" t="s">
        <v>17</v>
      </c>
      <c r="F394" s="5"/>
    </row>
    <row r="395" spans="1:6" ht="72" customHeight="1">
      <c r="A395" s="1" t="s">
        <v>27</v>
      </c>
      <c r="B395" s="1">
        <v>394</v>
      </c>
      <c r="C395" s="1" t="s">
        <v>422</v>
      </c>
      <c r="D395">
        <f>IMAGE("https://raw.githubusercontent.com/stautonico/pokemon-home-pokedex/main/sprites/prinplup.png", 2)</f>
        <v>0</v>
      </c>
      <c r="E395" s="27" t="s">
        <v>17</v>
      </c>
      <c r="F395" s="5"/>
    </row>
    <row r="396" spans="1:6" ht="72" customHeight="1">
      <c r="A396" s="1" t="s">
        <v>27</v>
      </c>
      <c r="B396" s="1">
        <v>395</v>
      </c>
      <c r="C396" s="1" t="s">
        <v>423</v>
      </c>
      <c r="D396">
        <f>IMAGE("https://raw.githubusercontent.com/stautonico/pokemon-home-pokedex/main/sprites/empoleon.png", 2)</f>
        <v>0</v>
      </c>
      <c r="E396" s="27" t="s">
        <v>17</v>
      </c>
      <c r="F396" s="5"/>
    </row>
    <row r="397" spans="1:6" ht="72" customHeight="1">
      <c r="A397" s="1" t="s">
        <v>27</v>
      </c>
      <c r="B397" s="1">
        <v>396</v>
      </c>
      <c r="C397" s="1" t="s">
        <v>424</v>
      </c>
      <c r="D397">
        <f>IMAGE("https://raw.githubusercontent.com/stautonico/pokemon-home-pokedex/main/sprites/starly.png", 2)</f>
        <v>0</v>
      </c>
      <c r="E397" s="24" t="s">
        <v>16</v>
      </c>
      <c r="F397" s="5"/>
    </row>
    <row r="398" spans="1:6" ht="72" customHeight="1">
      <c r="A398" s="1" t="s">
        <v>27</v>
      </c>
      <c r="B398" s="1">
        <v>397</v>
      </c>
      <c r="C398" s="1" t="s">
        <v>425</v>
      </c>
      <c r="D398">
        <f>IMAGE("https://raw.githubusercontent.com/stautonico/pokemon-home-pokedex/main/sprites/staravia.png", 2)</f>
        <v>0</v>
      </c>
      <c r="E398" s="24" t="s">
        <v>16</v>
      </c>
      <c r="F398" s="5"/>
    </row>
    <row r="399" spans="1:6" ht="72" customHeight="1">
      <c r="A399" s="1" t="s">
        <v>27</v>
      </c>
      <c r="B399" s="1">
        <v>398</v>
      </c>
      <c r="C399" s="1" t="s">
        <v>426</v>
      </c>
      <c r="D399">
        <f>IMAGE("https://raw.githubusercontent.com/stautonico/pokemon-home-pokedex/main/sprites/staraptor.png", 2)</f>
        <v>0</v>
      </c>
      <c r="E399" s="24" t="s">
        <v>16</v>
      </c>
      <c r="F399" s="5"/>
    </row>
    <row r="400" spans="1:6" ht="72" customHeight="1">
      <c r="A400" s="1" t="s">
        <v>27</v>
      </c>
      <c r="B400" s="1">
        <v>399</v>
      </c>
      <c r="C400" s="1" t="s">
        <v>427</v>
      </c>
      <c r="D400">
        <f>IMAGE("https://raw.githubusercontent.com/stautonico/pokemon-home-pokedex/main/sprites/bidoof.png", 2)</f>
        <v>0</v>
      </c>
      <c r="E400" s="24" t="s">
        <v>16</v>
      </c>
      <c r="F400" s="5"/>
    </row>
    <row r="401" spans="1:6" ht="72" customHeight="1">
      <c r="A401" s="1" t="s">
        <v>27</v>
      </c>
      <c r="B401" s="1">
        <v>400</v>
      </c>
      <c r="C401" s="1" t="s">
        <v>428</v>
      </c>
      <c r="D401">
        <f>IMAGE("https://raw.githubusercontent.com/stautonico/pokemon-home-pokedex/main/sprites/bibarel.png", 2)</f>
        <v>0</v>
      </c>
      <c r="E401" s="24" t="s">
        <v>16</v>
      </c>
      <c r="F401" s="5"/>
    </row>
    <row r="402" spans="1:6" ht="72" customHeight="1">
      <c r="A402" s="1" t="s">
        <v>27</v>
      </c>
      <c r="B402" s="1">
        <v>401</v>
      </c>
      <c r="C402" s="1" t="s">
        <v>429</v>
      </c>
      <c r="D402">
        <f>IMAGE("https://raw.githubusercontent.com/stautonico/pokemon-home-pokedex/main/sprites/kricketot.png", 2)</f>
        <v>0</v>
      </c>
      <c r="E402" s="33" t="s">
        <v>22</v>
      </c>
      <c r="F402" s="5"/>
    </row>
    <row r="403" spans="1:6" ht="72" customHeight="1">
      <c r="A403" s="1" t="s">
        <v>27</v>
      </c>
      <c r="B403" s="1">
        <v>402</v>
      </c>
      <c r="C403" s="1" t="s">
        <v>430</v>
      </c>
      <c r="D403">
        <f>IMAGE("https://raw.githubusercontent.com/stautonico/pokemon-home-pokedex/main/sprites/kricketune.png", 2)</f>
        <v>0</v>
      </c>
      <c r="E403" s="33" t="s">
        <v>22</v>
      </c>
      <c r="F403" s="5"/>
    </row>
    <row r="404" spans="1:6" ht="72" customHeight="1">
      <c r="A404" s="1" t="s">
        <v>27</v>
      </c>
      <c r="B404" s="1">
        <v>403</v>
      </c>
      <c r="C404" s="1" t="s">
        <v>431</v>
      </c>
      <c r="D404">
        <f>IMAGE("https://raw.githubusercontent.com/stautonico/pokemon-home-pokedex/main/sprites/shinx.png", 2)</f>
        <v>0</v>
      </c>
      <c r="E404" s="3" t="s">
        <v>12</v>
      </c>
      <c r="F404" s="33" t="s">
        <v>22</v>
      </c>
    </row>
    <row r="405" spans="1:6" ht="72" customHeight="1">
      <c r="A405" s="1" t="s">
        <v>27</v>
      </c>
      <c r="B405" s="1">
        <v>404</v>
      </c>
      <c r="C405" s="1" t="s">
        <v>432</v>
      </c>
      <c r="D405">
        <f>IMAGE("https://raw.githubusercontent.com/stautonico/pokemon-home-pokedex/main/sprites/luxio.png", 2)</f>
        <v>0</v>
      </c>
      <c r="E405" s="3" t="s">
        <v>12</v>
      </c>
      <c r="F405" s="33" t="s">
        <v>22</v>
      </c>
    </row>
    <row r="406" spans="1:6" ht="72" customHeight="1">
      <c r="A406" s="1" t="s">
        <v>27</v>
      </c>
      <c r="B406" s="1">
        <v>405</v>
      </c>
      <c r="C406" s="1" t="s">
        <v>433</v>
      </c>
      <c r="D406">
        <f>IMAGE("https://raw.githubusercontent.com/stautonico/pokemon-home-pokedex/main/sprites/luxray.png", 2)</f>
        <v>0</v>
      </c>
      <c r="E406" s="3" t="s">
        <v>12</v>
      </c>
      <c r="F406" s="33" t="s">
        <v>22</v>
      </c>
    </row>
    <row r="407" spans="1:6" ht="72" customHeight="1">
      <c r="A407" s="1" t="s">
        <v>27</v>
      </c>
      <c r="B407" s="1">
        <v>406</v>
      </c>
      <c r="C407" s="1" t="s">
        <v>434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27</v>
      </c>
      <c r="B408" s="1">
        <v>407</v>
      </c>
      <c r="C408" s="1" t="s">
        <v>435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27</v>
      </c>
      <c r="B409" s="1">
        <v>408</v>
      </c>
      <c r="C409" s="1" t="s">
        <v>436</v>
      </c>
      <c r="D409">
        <f>IMAGE("https://raw.githubusercontent.com/stautonico/pokemon-home-pokedex/main/sprites/cranidos.png", 2)</f>
        <v>0</v>
      </c>
      <c r="E409" s="34" t="s">
        <v>19</v>
      </c>
      <c r="F409" s="5"/>
    </row>
    <row r="410" spans="1:6" ht="72" customHeight="1">
      <c r="A410" s="1" t="s">
        <v>27</v>
      </c>
      <c r="B410" s="1">
        <v>409</v>
      </c>
      <c r="C410" s="1" t="s">
        <v>437</v>
      </c>
      <c r="D410">
        <f>IMAGE("https://raw.githubusercontent.com/stautonico/pokemon-home-pokedex/main/sprites/rampardos.png", 2)</f>
        <v>0</v>
      </c>
      <c r="E410" s="34" t="s">
        <v>19</v>
      </c>
      <c r="F410" s="5"/>
    </row>
    <row r="411" spans="1:6" ht="72" customHeight="1">
      <c r="A411" s="1" t="s">
        <v>27</v>
      </c>
      <c r="B411" s="1">
        <v>410</v>
      </c>
      <c r="C411" s="1" t="s">
        <v>438</v>
      </c>
      <c r="D411">
        <f>IMAGE("https://raw.githubusercontent.com/stautonico/pokemon-home-pokedex/main/sprites/shieldon.png", 2)</f>
        <v>0</v>
      </c>
      <c r="E411" s="35" t="s">
        <v>20</v>
      </c>
      <c r="F411" s="5"/>
    </row>
    <row r="412" spans="1:6" ht="72" customHeight="1">
      <c r="A412" s="1" t="s">
        <v>27</v>
      </c>
      <c r="B412" s="1">
        <v>411</v>
      </c>
      <c r="C412" s="1" t="s">
        <v>439</v>
      </c>
      <c r="D412">
        <f>IMAGE("https://raw.githubusercontent.com/stautonico/pokemon-home-pokedex/main/sprites/bastiodon.png", 2)</f>
        <v>0</v>
      </c>
      <c r="E412" s="35" t="s">
        <v>20</v>
      </c>
      <c r="F412" s="5"/>
    </row>
    <row r="413" spans="1:6" ht="72" customHeight="1">
      <c r="A413" s="1" t="s">
        <v>27</v>
      </c>
      <c r="B413" s="1">
        <v>412</v>
      </c>
      <c r="C413" s="1" t="s">
        <v>440</v>
      </c>
      <c r="D413">
        <f>IMAGE("https://raw.githubusercontent.com/stautonico/pokemon-home-pokedex/main/sprites/burmy.png", 2)</f>
        <v>0</v>
      </c>
      <c r="E413" s="24" t="s">
        <v>16</v>
      </c>
      <c r="F413" s="5"/>
    </row>
    <row r="414" spans="1:6" ht="72" customHeight="1">
      <c r="A414" s="1" t="s">
        <v>27</v>
      </c>
      <c r="B414" s="1">
        <v>413</v>
      </c>
      <c r="C414" s="1" t="s">
        <v>441</v>
      </c>
      <c r="D414">
        <f>IMAGE("https://raw.githubusercontent.com/stautonico/pokemon-home-pokedex/main/sprites/wormadam.png", 2)</f>
        <v>0</v>
      </c>
      <c r="E414" s="24" t="s">
        <v>16</v>
      </c>
      <c r="F414" s="5"/>
    </row>
    <row r="415" spans="1:6" ht="72" customHeight="1">
      <c r="A415" s="1" t="s">
        <v>27</v>
      </c>
      <c r="B415" s="1">
        <v>414</v>
      </c>
      <c r="C415" s="1" t="s">
        <v>442</v>
      </c>
      <c r="D415">
        <f>IMAGE("https://raw.githubusercontent.com/stautonico/pokemon-home-pokedex/main/sprites/mothim.png", 2)</f>
        <v>0</v>
      </c>
      <c r="E415" s="24" t="s">
        <v>16</v>
      </c>
      <c r="F415" s="5"/>
    </row>
    <row r="416" spans="1:6" ht="72" customHeight="1">
      <c r="A416" s="1" t="s">
        <v>27</v>
      </c>
      <c r="B416" s="1">
        <v>415</v>
      </c>
      <c r="C416" s="1" t="s">
        <v>443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27</v>
      </c>
      <c r="B417" s="1">
        <v>416</v>
      </c>
      <c r="C417" s="1" t="s">
        <v>444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27</v>
      </c>
      <c r="B418" s="1">
        <v>417</v>
      </c>
      <c r="C418" s="1" t="s">
        <v>445</v>
      </c>
      <c r="D418">
        <f>IMAGE("https://raw.githubusercontent.com/stautonico/pokemon-home-pokedex/main/sprites/pachirisu.png", 2)</f>
        <v>0</v>
      </c>
      <c r="E418" s="24" t="s">
        <v>16</v>
      </c>
      <c r="F418" s="5"/>
    </row>
    <row r="419" spans="1:6" ht="72" customHeight="1">
      <c r="A419" s="1" t="s">
        <v>27</v>
      </c>
      <c r="B419" s="1">
        <v>418</v>
      </c>
      <c r="C419" s="1" t="s">
        <v>446</v>
      </c>
      <c r="D419">
        <f>IMAGE("https://raw.githubusercontent.com/stautonico/pokemon-home-pokedex/main/sprites/buizel.png", 2)</f>
        <v>0</v>
      </c>
      <c r="E419" s="24" t="s">
        <v>16</v>
      </c>
      <c r="F419" s="5"/>
    </row>
    <row r="420" spans="1:6" ht="72" customHeight="1">
      <c r="A420" s="1" t="s">
        <v>27</v>
      </c>
      <c r="B420" s="1">
        <v>419</v>
      </c>
      <c r="C420" s="1" t="s">
        <v>447</v>
      </c>
      <c r="D420">
        <f>IMAGE("https://raw.githubusercontent.com/stautonico/pokemon-home-pokedex/main/sprites/floatzel.png", 2)</f>
        <v>0</v>
      </c>
      <c r="E420" s="24" t="s">
        <v>16</v>
      </c>
      <c r="F420" s="5"/>
    </row>
    <row r="421" spans="1:6" ht="72" customHeight="1">
      <c r="A421" s="1" t="s">
        <v>27</v>
      </c>
      <c r="B421" s="1">
        <v>420</v>
      </c>
      <c r="C421" s="1" t="s">
        <v>448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27</v>
      </c>
      <c r="B422" s="1">
        <v>421</v>
      </c>
      <c r="C422" s="1" t="s">
        <v>449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27</v>
      </c>
      <c r="B423" s="1">
        <v>422</v>
      </c>
      <c r="C423" s="1" t="s">
        <v>450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27</v>
      </c>
      <c r="B424" s="1">
        <v>423</v>
      </c>
      <c r="C424" s="1" t="s">
        <v>451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27</v>
      </c>
      <c r="B425" s="1">
        <v>424</v>
      </c>
      <c r="C425" s="1" t="s">
        <v>452</v>
      </c>
      <c r="D425">
        <f>IMAGE("https://raw.githubusercontent.com/stautonico/pokemon-home-pokedex/main/sprites/ambipom.png", 2)</f>
        <v>0</v>
      </c>
      <c r="E425" s="29" t="s">
        <v>21</v>
      </c>
      <c r="F425" s="5"/>
    </row>
    <row r="426" spans="1:6" ht="72" customHeight="1">
      <c r="A426" s="1" t="s">
        <v>27</v>
      </c>
      <c r="B426" s="1">
        <v>425</v>
      </c>
      <c r="C426" s="1" t="s">
        <v>453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27</v>
      </c>
      <c r="B427" s="1">
        <v>426</v>
      </c>
      <c r="C427" s="1" t="s">
        <v>454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27</v>
      </c>
      <c r="B428" s="1">
        <v>427</v>
      </c>
      <c r="C428" s="1" t="s">
        <v>455</v>
      </c>
      <c r="D428">
        <f>IMAGE("https://raw.githubusercontent.com/stautonico/pokemon-home-pokedex/main/sprites/buneary.png", 2)</f>
        <v>0</v>
      </c>
      <c r="E428" s="3" t="s">
        <v>12</v>
      </c>
      <c r="F428" s="27" t="s">
        <v>17</v>
      </c>
    </row>
    <row r="429" spans="1:6" ht="72" customHeight="1">
      <c r="A429" s="1" t="s">
        <v>27</v>
      </c>
      <c r="B429" s="1">
        <v>428</v>
      </c>
      <c r="C429" s="1" t="s">
        <v>456</v>
      </c>
      <c r="D429">
        <f>IMAGE("https://raw.githubusercontent.com/stautonico/pokemon-home-pokedex/main/sprites/lopunny.png", 2)</f>
        <v>0</v>
      </c>
      <c r="E429" s="3" t="s">
        <v>12</v>
      </c>
      <c r="F429" s="27" t="s">
        <v>17</v>
      </c>
    </row>
    <row r="430" spans="1:6" ht="72" customHeight="1">
      <c r="A430" s="1" t="s">
        <v>27</v>
      </c>
      <c r="B430" s="1">
        <v>429</v>
      </c>
      <c r="C430" s="1" t="s">
        <v>457</v>
      </c>
      <c r="D430">
        <f>IMAGE("https://raw.githubusercontent.com/stautonico/pokemon-home-pokedex/main/sprites/mismagius.png", 2)</f>
        <v>0</v>
      </c>
      <c r="E430" s="27" t="s">
        <v>17</v>
      </c>
      <c r="F430" s="5"/>
    </row>
    <row r="431" spans="1:6" ht="72" customHeight="1">
      <c r="A431" s="1" t="s">
        <v>27</v>
      </c>
      <c r="B431" s="1">
        <v>430</v>
      </c>
      <c r="C431" s="1" t="s">
        <v>458</v>
      </c>
      <c r="D431">
        <f>IMAGE("https://raw.githubusercontent.com/stautonico/pokemon-home-pokedex/main/sprites/honchkrow.png", 2)</f>
        <v>0</v>
      </c>
      <c r="E431" s="24" t="s">
        <v>16</v>
      </c>
      <c r="F431" s="5"/>
    </row>
    <row r="432" spans="1:6" ht="72" customHeight="1">
      <c r="A432" s="1" t="s">
        <v>27</v>
      </c>
      <c r="B432" s="1">
        <v>431</v>
      </c>
      <c r="C432" s="1" t="s">
        <v>459</v>
      </c>
      <c r="D432">
        <f>IMAGE("https://raw.githubusercontent.com/stautonico/pokemon-home-pokedex/main/sprites/glameow.png", 2)</f>
        <v>0</v>
      </c>
      <c r="E432" s="29" t="s">
        <v>21</v>
      </c>
      <c r="F432" s="5"/>
    </row>
    <row r="433" spans="1:6" ht="72" customHeight="1">
      <c r="A433" s="1" t="s">
        <v>27</v>
      </c>
      <c r="B433" s="1">
        <v>432</v>
      </c>
      <c r="C433" s="1" t="s">
        <v>460</v>
      </c>
      <c r="D433">
        <f>IMAGE("https://raw.githubusercontent.com/stautonico/pokemon-home-pokedex/main/sprites/purugly.png", 2)</f>
        <v>0</v>
      </c>
      <c r="E433" s="29" t="s">
        <v>21</v>
      </c>
      <c r="F433" s="5"/>
    </row>
    <row r="434" spans="1:6" ht="72" customHeight="1">
      <c r="A434" s="1" t="s">
        <v>27</v>
      </c>
      <c r="B434" s="1">
        <v>433</v>
      </c>
      <c r="C434" s="1" t="s">
        <v>461</v>
      </c>
      <c r="D434">
        <f>IMAGE("https://raw.githubusercontent.com/stautonico/pokemon-home-pokedex/main/sprites/chingling.png", 2)</f>
        <v>0</v>
      </c>
      <c r="E434" s="27" t="s">
        <v>17</v>
      </c>
      <c r="F434" s="5"/>
    </row>
    <row r="435" spans="1:6" ht="72" customHeight="1">
      <c r="A435" s="1" t="s">
        <v>27</v>
      </c>
      <c r="B435" s="1">
        <v>434</v>
      </c>
      <c r="C435" s="1" t="s">
        <v>462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27</v>
      </c>
      <c r="B436" s="1">
        <v>435</v>
      </c>
      <c r="C436" s="1" t="s">
        <v>463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27</v>
      </c>
      <c r="B437" s="1">
        <v>436</v>
      </c>
      <c r="C437" s="1" t="s">
        <v>464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27</v>
      </c>
      <c r="B438" s="1">
        <v>437</v>
      </c>
      <c r="C438" s="1" t="s">
        <v>465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27</v>
      </c>
      <c r="B439" s="1">
        <v>438</v>
      </c>
      <c r="C439" s="1" t="s">
        <v>466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27</v>
      </c>
      <c r="B440" s="1">
        <v>439</v>
      </c>
      <c r="C440" s="1" t="s">
        <v>467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27</v>
      </c>
      <c r="B441" s="1">
        <v>440</v>
      </c>
      <c r="C441" s="1" t="s">
        <v>468</v>
      </c>
      <c r="D441">
        <f>IMAGE("https://raw.githubusercontent.com/stautonico/pokemon-home-pokedex/main/sprites/happiny.png", 2)</f>
        <v>0</v>
      </c>
      <c r="E441" s="3" t="s">
        <v>12</v>
      </c>
      <c r="F441" s="27" t="s">
        <v>17</v>
      </c>
    </row>
    <row r="442" spans="1:6" ht="72" customHeight="1">
      <c r="A442" s="1" t="s">
        <v>27</v>
      </c>
      <c r="B442" s="1">
        <v>441</v>
      </c>
      <c r="C442" s="1" t="s">
        <v>469</v>
      </c>
      <c r="D442">
        <f>IMAGE("https://raw.githubusercontent.com/stautonico/pokemon-home-pokedex/main/sprites/chatot.png", 2)</f>
        <v>0</v>
      </c>
      <c r="E442" s="24" t="s">
        <v>16</v>
      </c>
      <c r="F442" s="5"/>
    </row>
    <row r="443" spans="1:6" ht="72" customHeight="1">
      <c r="A443" s="1" t="s">
        <v>27</v>
      </c>
      <c r="B443" s="1">
        <v>442</v>
      </c>
      <c r="C443" s="1" t="s">
        <v>470</v>
      </c>
      <c r="D443">
        <f>IMAGE("https://raw.githubusercontent.com/stautonico/pokemon-home-pokedex/main/sprites/spiritomb.png", 2)</f>
        <v>0</v>
      </c>
      <c r="E443" s="29" t="s">
        <v>21</v>
      </c>
      <c r="F443" s="5"/>
    </row>
    <row r="444" spans="1:6" ht="72" customHeight="1">
      <c r="A444" s="1" t="s">
        <v>27</v>
      </c>
      <c r="B444" s="1">
        <v>443</v>
      </c>
      <c r="C444" s="1" t="s">
        <v>471</v>
      </c>
      <c r="D444">
        <f>IMAGE("https://raw.githubusercontent.com/stautonico/pokemon-home-pokedex/main/sprites/gible.png", 2)</f>
        <v>0</v>
      </c>
      <c r="E444" s="24" t="s">
        <v>16</v>
      </c>
      <c r="F444" s="5"/>
    </row>
    <row r="445" spans="1:6" ht="72" customHeight="1">
      <c r="A445" s="1" t="s">
        <v>27</v>
      </c>
      <c r="B445" s="1">
        <v>444</v>
      </c>
      <c r="C445" s="1" t="s">
        <v>472</v>
      </c>
      <c r="D445">
        <f>IMAGE("https://raw.githubusercontent.com/stautonico/pokemon-home-pokedex/main/sprites/gabite.png", 2)</f>
        <v>0</v>
      </c>
      <c r="E445" s="24" t="s">
        <v>16</v>
      </c>
      <c r="F445" s="5"/>
    </row>
    <row r="446" spans="1:6" ht="72" customHeight="1">
      <c r="A446" s="1" t="s">
        <v>27</v>
      </c>
      <c r="B446" s="1">
        <v>445</v>
      </c>
      <c r="C446" s="1" t="s">
        <v>473</v>
      </c>
      <c r="D446">
        <f>IMAGE("https://raw.githubusercontent.com/stautonico/pokemon-home-pokedex/main/sprites/garchomp.png", 2)</f>
        <v>0</v>
      </c>
      <c r="E446" s="24" t="s">
        <v>16</v>
      </c>
      <c r="F446" s="5"/>
    </row>
    <row r="447" spans="1:6" ht="72" customHeight="1">
      <c r="A447" s="1" t="s">
        <v>27</v>
      </c>
      <c r="B447" s="1">
        <v>446</v>
      </c>
      <c r="C447" s="1" t="s">
        <v>474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27</v>
      </c>
      <c r="B448" s="1">
        <v>447</v>
      </c>
      <c r="C448" s="1" t="s">
        <v>475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27</v>
      </c>
      <c r="B449" s="1">
        <v>448</v>
      </c>
      <c r="C449" s="1" t="s">
        <v>476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27</v>
      </c>
      <c r="B450" s="1">
        <v>449</v>
      </c>
      <c r="C450" s="1" t="s">
        <v>477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27</v>
      </c>
      <c r="B451" s="1">
        <v>450</v>
      </c>
      <c r="C451" s="1" t="s">
        <v>478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27</v>
      </c>
      <c r="B452" s="1">
        <v>451</v>
      </c>
      <c r="C452" s="1" t="s">
        <v>479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27</v>
      </c>
      <c r="B453" s="1">
        <v>452</v>
      </c>
      <c r="C453" s="1" t="s">
        <v>480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27</v>
      </c>
      <c r="B454" s="1">
        <v>453</v>
      </c>
      <c r="C454" s="1" t="s">
        <v>481</v>
      </c>
      <c r="D454">
        <f>IMAGE("https://raw.githubusercontent.com/stautonico/pokemon-home-pokedex/main/sprites/croagunk.png", 2)</f>
        <v>0</v>
      </c>
      <c r="E454" s="28" t="s">
        <v>15</v>
      </c>
      <c r="F454" s="24" t="s">
        <v>16</v>
      </c>
    </row>
    <row r="455" spans="1:6" ht="72" customHeight="1">
      <c r="A455" s="1" t="s">
        <v>27</v>
      </c>
      <c r="B455" s="1">
        <v>454</v>
      </c>
      <c r="C455" s="1" t="s">
        <v>482</v>
      </c>
      <c r="D455">
        <f>IMAGE("https://raw.githubusercontent.com/stautonico/pokemon-home-pokedex/main/sprites/toxicroak.png", 2)</f>
        <v>0</v>
      </c>
      <c r="E455" s="28" t="s">
        <v>15</v>
      </c>
      <c r="F455" s="24" t="s">
        <v>16</v>
      </c>
    </row>
    <row r="456" spans="1:6" ht="72" customHeight="1">
      <c r="A456" s="1" t="s">
        <v>27</v>
      </c>
      <c r="B456" s="1">
        <v>455</v>
      </c>
      <c r="C456" s="1" t="s">
        <v>483</v>
      </c>
      <c r="D456">
        <f>IMAGE("https://raw.githubusercontent.com/stautonico/pokemon-home-pokedex/main/sprites/carnivine.png", 2)</f>
        <v>0</v>
      </c>
      <c r="E456" s="24" t="s">
        <v>16</v>
      </c>
      <c r="F456" s="5"/>
    </row>
    <row r="457" spans="1:6" ht="72" customHeight="1">
      <c r="A457" s="1" t="s">
        <v>27</v>
      </c>
      <c r="B457" s="1">
        <v>456</v>
      </c>
      <c r="C457" s="1" t="s">
        <v>484</v>
      </c>
      <c r="D457">
        <f>IMAGE("https://raw.githubusercontent.com/stautonico/pokemon-home-pokedex/main/sprites/finneon.png", 2)</f>
        <v>0</v>
      </c>
      <c r="E457" s="27" t="s">
        <v>17</v>
      </c>
      <c r="F457" s="5"/>
    </row>
    <row r="458" spans="1:6" ht="72" customHeight="1">
      <c r="A458" s="1" t="s">
        <v>27</v>
      </c>
      <c r="B458" s="1">
        <v>457</v>
      </c>
      <c r="C458" s="1" t="s">
        <v>485</v>
      </c>
      <c r="D458">
        <f>IMAGE("https://raw.githubusercontent.com/stautonico/pokemon-home-pokedex/main/sprites/lumineon.png", 2)</f>
        <v>0</v>
      </c>
      <c r="E458" s="27" t="s">
        <v>17</v>
      </c>
      <c r="F458" s="5"/>
    </row>
    <row r="459" spans="1:6" ht="72" customHeight="1">
      <c r="A459" s="1" t="s">
        <v>27</v>
      </c>
      <c r="B459" s="1">
        <v>458</v>
      </c>
      <c r="C459" s="1" t="s">
        <v>486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27</v>
      </c>
      <c r="B460" s="1">
        <v>459</v>
      </c>
      <c r="C460" s="1" t="s">
        <v>487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27</v>
      </c>
      <c r="B461" s="1">
        <v>460</v>
      </c>
      <c r="C461" s="1" t="s">
        <v>488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27</v>
      </c>
      <c r="B462" s="1">
        <v>461</v>
      </c>
      <c r="C462" s="1" t="s">
        <v>489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27</v>
      </c>
      <c r="B463" s="1">
        <v>462</v>
      </c>
      <c r="C463" s="1" t="s">
        <v>490</v>
      </c>
      <c r="D463">
        <f>IMAGE("https://raw.githubusercontent.com/stautonico/pokemon-home-pokedex/main/sprites/magnezone.png", 2)</f>
        <v>0</v>
      </c>
      <c r="E463" s="3" t="s">
        <v>12</v>
      </c>
      <c r="F463" s="27" t="s">
        <v>17</v>
      </c>
    </row>
    <row r="464" spans="1:6" ht="72" customHeight="1">
      <c r="A464" s="1" t="s">
        <v>27</v>
      </c>
      <c r="B464" s="1">
        <v>463</v>
      </c>
      <c r="C464" s="1" t="s">
        <v>491</v>
      </c>
      <c r="D464">
        <f>IMAGE("https://raw.githubusercontent.com/stautonico/pokemon-home-pokedex/main/sprites/lickilicky.png", 2)</f>
        <v>0</v>
      </c>
      <c r="E464" s="3" t="s">
        <v>12</v>
      </c>
      <c r="F464" s="27" t="s">
        <v>17</v>
      </c>
    </row>
    <row r="465" spans="1:6" ht="72" customHeight="1">
      <c r="A465" s="1" t="s">
        <v>27</v>
      </c>
      <c r="B465" s="1">
        <v>464</v>
      </c>
      <c r="C465" s="1" t="s">
        <v>492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27</v>
      </c>
      <c r="B466" s="1">
        <v>465</v>
      </c>
      <c r="C466" s="1" t="s">
        <v>493</v>
      </c>
      <c r="D466">
        <f>IMAGE("https://raw.githubusercontent.com/stautonico/pokemon-home-pokedex/main/sprites/tangrowth.png", 2)</f>
        <v>0</v>
      </c>
      <c r="E466" s="3" t="s">
        <v>12</v>
      </c>
      <c r="F466" s="29" t="s">
        <v>21</v>
      </c>
    </row>
    <row r="467" spans="1:6" ht="72" customHeight="1">
      <c r="A467" s="1" t="s">
        <v>27</v>
      </c>
      <c r="B467" s="1">
        <v>466</v>
      </c>
      <c r="C467" s="1" t="s">
        <v>494</v>
      </c>
      <c r="D467">
        <f>IMAGE("https://raw.githubusercontent.com/stautonico/pokemon-home-pokedex/main/sprites/electivire.png", 2)</f>
        <v>0</v>
      </c>
      <c r="E467" s="27" t="s">
        <v>17</v>
      </c>
      <c r="F467" s="5"/>
    </row>
    <row r="468" spans="1:6" ht="72" customHeight="1">
      <c r="A468" s="1" t="s">
        <v>27</v>
      </c>
      <c r="B468" s="1">
        <v>467</v>
      </c>
      <c r="C468" s="1" t="s">
        <v>495</v>
      </c>
      <c r="D468">
        <f>IMAGE("https://raw.githubusercontent.com/stautonico/pokemon-home-pokedex/main/sprites/magmortar.png", 2)</f>
        <v>0</v>
      </c>
      <c r="E468" s="27" t="s">
        <v>17</v>
      </c>
      <c r="F468" s="5"/>
    </row>
    <row r="469" spans="1:6" ht="72" customHeight="1">
      <c r="A469" s="1" t="s">
        <v>27</v>
      </c>
      <c r="B469" s="1">
        <v>468</v>
      </c>
      <c r="C469" s="1" t="s">
        <v>496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27</v>
      </c>
      <c r="B470" s="1">
        <v>469</v>
      </c>
      <c r="C470" s="1" t="s">
        <v>497</v>
      </c>
      <c r="D470">
        <f>IMAGE("https://raw.githubusercontent.com/stautonico/pokemon-home-pokedex/main/sprites/yanmega.png", 2)</f>
        <v>0</v>
      </c>
      <c r="E470" s="24" t="s">
        <v>16</v>
      </c>
      <c r="F470" s="5"/>
    </row>
    <row r="471" spans="1:6" ht="72" customHeight="1">
      <c r="A471" s="1" t="s">
        <v>27</v>
      </c>
      <c r="B471" s="1">
        <v>470</v>
      </c>
      <c r="C471" s="1" t="s">
        <v>498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27</v>
      </c>
      <c r="B472" s="1">
        <v>471</v>
      </c>
      <c r="C472" s="1" t="s">
        <v>499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27</v>
      </c>
      <c r="B473" s="1">
        <v>472</v>
      </c>
      <c r="C473" s="1" t="s">
        <v>500</v>
      </c>
      <c r="D473">
        <f>IMAGE("https://raw.githubusercontent.com/stautonico/pokemon-home-pokedex/main/sprites/gliscor.png", 2)</f>
        <v>0</v>
      </c>
      <c r="E473" s="24" t="s">
        <v>16</v>
      </c>
      <c r="F473" s="5"/>
    </row>
    <row r="474" spans="1:6" ht="72" customHeight="1">
      <c r="A474" s="1" t="s">
        <v>27</v>
      </c>
      <c r="B474" s="1">
        <v>473</v>
      </c>
      <c r="C474" s="1" t="s">
        <v>501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27</v>
      </c>
      <c r="B475" s="1">
        <v>474</v>
      </c>
      <c r="C475" s="1" t="s">
        <v>502</v>
      </c>
      <c r="D475">
        <f>IMAGE("https://raw.githubusercontent.com/stautonico/pokemon-home-pokedex/main/sprites/porygonz.png", 2)</f>
        <v>0</v>
      </c>
      <c r="E475" s="3" t="s">
        <v>12</v>
      </c>
      <c r="F475" s="27" t="s">
        <v>17</v>
      </c>
    </row>
    <row r="476" spans="1:6" ht="72" customHeight="1">
      <c r="A476" s="1" t="s">
        <v>27</v>
      </c>
      <c r="B476" s="1">
        <v>475</v>
      </c>
      <c r="C476" s="1" t="s">
        <v>503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27</v>
      </c>
      <c r="B477" s="1">
        <v>476</v>
      </c>
      <c r="C477" s="1" t="s">
        <v>504</v>
      </c>
      <c r="D477">
        <f>IMAGE("https://raw.githubusercontent.com/stautonico/pokemon-home-pokedex/main/sprites/probopass.png", 2)</f>
        <v>0</v>
      </c>
      <c r="E477" s="29" t="s">
        <v>21</v>
      </c>
      <c r="F477" s="5"/>
    </row>
    <row r="478" spans="1:6" ht="72" customHeight="1">
      <c r="A478" s="1" t="s">
        <v>27</v>
      </c>
      <c r="B478" s="1">
        <v>477</v>
      </c>
      <c r="C478" s="1" t="s">
        <v>505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27</v>
      </c>
      <c r="B479" s="1">
        <v>478</v>
      </c>
      <c r="C479" s="1" t="s">
        <v>506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27</v>
      </c>
      <c r="B480" s="1">
        <v>479</v>
      </c>
      <c r="C480" s="1" t="s">
        <v>507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27</v>
      </c>
      <c r="B481" s="1">
        <v>480</v>
      </c>
      <c r="C481" s="1" t="s">
        <v>508</v>
      </c>
      <c r="D481">
        <f>IMAGE("https://raw.githubusercontent.com/stautonico/pokemon-home-pokedex/main/sprites/uxie.png", 2)</f>
        <v>0</v>
      </c>
      <c r="E481" s="27" t="s">
        <v>17</v>
      </c>
      <c r="F481" s="5"/>
    </row>
    <row r="482" spans="1:6" ht="72" customHeight="1">
      <c r="A482" s="1" t="s">
        <v>27</v>
      </c>
      <c r="B482" s="1">
        <v>481</v>
      </c>
      <c r="C482" s="1" t="s">
        <v>509</v>
      </c>
      <c r="D482">
        <f>IMAGE("https://raw.githubusercontent.com/stautonico/pokemon-home-pokedex/main/sprites/mesprit.png", 2)</f>
        <v>0</v>
      </c>
      <c r="E482" s="27" t="s">
        <v>17</v>
      </c>
      <c r="F482" s="5"/>
    </row>
    <row r="483" spans="1:6" ht="72" customHeight="1">
      <c r="A483" s="1" t="s">
        <v>27</v>
      </c>
      <c r="B483" s="1">
        <v>482</v>
      </c>
      <c r="C483" s="1" t="s">
        <v>510</v>
      </c>
      <c r="D483">
        <f>IMAGE("https://raw.githubusercontent.com/stautonico/pokemon-home-pokedex/main/sprites/azelf.png", 2)</f>
        <v>0</v>
      </c>
      <c r="E483" s="27" t="s">
        <v>17</v>
      </c>
      <c r="F483" s="5"/>
    </row>
    <row r="484" spans="1:6" ht="72" customHeight="1">
      <c r="A484" s="1" t="s">
        <v>27</v>
      </c>
      <c r="B484" s="1">
        <v>483</v>
      </c>
      <c r="C484" s="1" t="s">
        <v>511</v>
      </c>
      <c r="D484">
        <f>IMAGE("https://raw.githubusercontent.com/stautonico/pokemon-home-pokedex/main/sprites/dialga.png", 2)</f>
        <v>0</v>
      </c>
      <c r="E484" s="34" t="s">
        <v>19</v>
      </c>
      <c r="F484" s="36" t="s">
        <v>23</v>
      </c>
    </row>
    <row r="485" spans="1:6" ht="72" customHeight="1">
      <c r="A485" s="1" t="s">
        <v>27</v>
      </c>
      <c r="B485" s="1">
        <v>484</v>
      </c>
      <c r="C485" s="1" t="s">
        <v>512</v>
      </c>
      <c r="D485">
        <f>IMAGE("https://raw.githubusercontent.com/stautonico/pokemon-home-pokedex/main/sprites/palkia.png", 2)</f>
        <v>0</v>
      </c>
      <c r="E485" s="35" t="s">
        <v>20</v>
      </c>
      <c r="F485" s="33" t="s">
        <v>22</v>
      </c>
    </row>
    <row r="486" spans="1:6" ht="72" customHeight="1">
      <c r="A486" s="1" t="s">
        <v>27</v>
      </c>
      <c r="B486" s="1">
        <v>485</v>
      </c>
      <c r="C486" s="1" t="s">
        <v>513</v>
      </c>
      <c r="D486">
        <f>IMAGE("https://raw.githubusercontent.com/stautonico/pokemon-home-pokedex/main/sprites/heatran.png", 2)</f>
        <v>0</v>
      </c>
      <c r="E486" s="29" t="s">
        <v>21</v>
      </c>
      <c r="F486" s="5"/>
    </row>
    <row r="487" spans="1:6" ht="72" customHeight="1">
      <c r="A487" s="1" t="s">
        <v>27</v>
      </c>
      <c r="B487" s="1">
        <v>486</v>
      </c>
      <c r="C487" s="1" t="s">
        <v>514</v>
      </c>
      <c r="D487">
        <f>IMAGE("https://raw.githubusercontent.com/stautonico/pokemon-home-pokedex/main/sprites/regigigas.png", 2)</f>
        <v>0</v>
      </c>
      <c r="E487" s="29" t="s">
        <v>21</v>
      </c>
      <c r="F487" s="5"/>
    </row>
    <row r="488" spans="1:6" ht="72" customHeight="1">
      <c r="A488" s="1" t="s">
        <v>27</v>
      </c>
      <c r="B488" s="1">
        <v>487</v>
      </c>
      <c r="C488" s="1" t="s">
        <v>515</v>
      </c>
      <c r="D488">
        <f>IMAGE("https://raw.githubusercontent.com/stautonico/pokemon-home-pokedex/main/sprites/giratina.png", 2)</f>
        <v>0</v>
      </c>
      <c r="E488" s="27" t="s">
        <v>17</v>
      </c>
      <c r="F488" s="5"/>
    </row>
    <row r="489" spans="1:6" ht="72" customHeight="1">
      <c r="A489" s="1" t="s">
        <v>27</v>
      </c>
      <c r="B489" s="1">
        <v>488</v>
      </c>
      <c r="C489" s="1" t="s">
        <v>516</v>
      </c>
      <c r="D489">
        <f>IMAGE("https://raw.githubusercontent.com/stautonico/pokemon-home-pokedex/main/sprites/cresselia.png", 2)</f>
        <v>0</v>
      </c>
      <c r="E489" s="27" t="s">
        <v>17</v>
      </c>
      <c r="F489" s="29" t="s">
        <v>21</v>
      </c>
    </row>
    <row r="490" spans="1:6" ht="72" customHeight="1">
      <c r="A490" s="1" t="s">
        <v>27</v>
      </c>
      <c r="B490" s="1">
        <v>489</v>
      </c>
      <c r="C490" s="1" t="s">
        <v>517</v>
      </c>
      <c r="D490">
        <f>IMAGE("https://raw.githubusercontent.com/stautonico/pokemon-home-pokedex/main/sprites/phione.png", 2)</f>
        <v>0</v>
      </c>
      <c r="E490" s="32" t="s">
        <v>24</v>
      </c>
      <c r="F490" s="5"/>
    </row>
    <row r="491" spans="1:6" ht="72" customHeight="1">
      <c r="A491" s="1" t="s">
        <v>27</v>
      </c>
      <c r="B491" s="1">
        <v>490</v>
      </c>
      <c r="C491" s="1" t="s">
        <v>518</v>
      </c>
      <c r="D491">
        <f>IMAGE("https://raw.githubusercontent.com/stautonico/pokemon-home-pokedex/main/sprites/manaphy.png", 2)</f>
        <v>0</v>
      </c>
      <c r="E491" s="32" t="s">
        <v>24</v>
      </c>
      <c r="F491" s="5"/>
    </row>
    <row r="492" spans="1:6" ht="72" customHeight="1">
      <c r="A492" s="1" t="s">
        <v>27</v>
      </c>
      <c r="B492" s="1">
        <v>491</v>
      </c>
      <c r="C492" s="1" t="s">
        <v>519</v>
      </c>
      <c r="D492">
        <f>IMAGE("https://raw.githubusercontent.com/stautonico/pokemon-home-pokedex/main/sprites/darkrai.png", 2)</f>
        <v>0</v>
      </c>
      <c r="E492" s="32" t="s">
        <v>24</v>
      </c>
      <c r="F492" s="5"/>
    </row>
    <row r="493" spans="1:6" ht="72" customHeight="1">
      <c r="A493" s="1" t="s">
        <v>27</v>
      </c>
      <c r="B493" s="1">
        <v>492</v>
      </c>
      <c r="C493" s="1" t="s">
        <v>520</v>
      </c>
      <c r="D493">
        <f>IMAGE("https://raw.githubusercontent.com/stautonico/pokemon-home-pokedex/main/sprites/shaymin.png", 2)</f>
        <v>0</v>
      </c>
      <c r="E493" s="32" t="s">
        <v>24</v>
      </c>
      <c r="F493" s="5"/>
    </row>
    <row r="494" spans="1:6" ht="72" customHeight="1">
      <c r="A494" s="1" t="s">
        <v>27</v>
      </c>
      <c r="B494" s="1">
        <v>493</v>
      </c>
      <c r="C494" s="1" t="s">
        <v>521</v>
      </c>
      <c r="D494">
        <f>IMAGE("https://raw.githubusercontent.com/stautonico/pokemon-home-pokedex/main/sprites/arceus.png", 2)</f>
        <v>0</v>
      </c>
      <c r="E494" s="32" t="s">
        <v>24</v>
      </c>
      <c r="F494" s="5"/>
    </row>
    <row r="495" spans="1:6" ht="72" customHeight="1">
      <c r="A495" s="1" t="s">
        <v>27</v>
      </c>
      <c r="B495" s="1">
        <v>494</v>
      </c>
      <c r="C495" s="1" t="s">
        <v>522</v>
      </c>
      <c r="D495">
        <f>IMAGE("https://raw.githubusercontent.com/stautonico/pokemon-home-pokedex/main/sprites/victini.png", 2)</f>
        <v>0</v>
      </c>
      <c r="E495" s="32" t="s">
        <v>24</v>
      </c>
      <c r="F495" s="5"/>
    </row>
    <row r="496" spans="1:6" ht="72" customHeight="1">
      <c r="A496" s="1" t="s">
        <v>27</v>
      </c>
      <c r="B496" s="1">
        <v>495</v>
      </c>
      <c r="C496" s="1" t="s">
        <v>523</v>
      </c>
      <c r="D496">
        <f>IMAGE("https://raw.githubusercontent.com/stautonico/pokemon-home-pokedex/main/sprites/snivy.png", 2)</f>
        <v>0</v>
      </c>
      <c r="E496" s="29" t="s">
        <v>21</v>
      </c>
      <c r="F496" s="5" t="s">
        <v>524</v>
      </c>
    </row>
    <row r="497" spans="1:6" ht="72" customHeight="1">
      <c r="A497" s="1" t="s">
        <v>27</v>
      </c>
      <c r="B497" s="1">
        <v>496</v>
      </c>
      <c r="C497" s="1" t="s">
        <v>525</v>
      </c>
      <c r="D497">
        <f>IMAGE("https://raw.githubusercontent.com/stautonico/pokemon-home-pokedex/main/sprites/servine.png", 2)</f>
        <v>0</v>
      </c>
      <c r="E497" s="29" t="s">
        <v>21</v>
      </c>
      <c r="F497" s="5" t="s">
        <v>524</v>
      </c>
    </row>
    <row r="498" spans="1:6" ht="72" customHeight="1">
      <c r="A498" s="1" t="s">
        <v>27</v>
      </c>
      <c r="B498" s="1">
        <v>497</v>
      </c>
      <c r="C498" s="1" t="s">
        <v>526</v>
      </c>
      <c r="D498">
        <f>IMAGE("https://raw.githubusercontent.com/stautonico/pokemon-home-pokedex/main/sprites/serperior.png", 2)</f>
        <v>0</v>
      </c>
      <c r="E498" s="29" t="s">
        <v>21</v>
      </c>
      <c r="F498" s="5" t="s">
        <v>524</v>
      </c>
    </row>
    <row r="499" spans="1:6" ht="72" customHeight="1">
      <c r="A499" s="1" t="s">
        <v>27</v>
      </c>
      <c r="B499" s="1">
        <v>498</v>
      </c>
      <c r="C499" s="1" t="s">
        <v>527</v>
      </c>
      <c r="D499">
        <f>IMAGE("https://raw.githubusercontent.com/stautonico/pokemon-home-pokedex/main/sprites/tepig.png", 2)</f>
        <v>0</v>
      </c>
      <c r="E499" s="29" t="s">
        <v>21</v>
      </c>
      <c r="F499" s="5" t="s">
        <v>524</v>
      </c>
    </row>
    <row r="500" spans="1:6" ht="72" customHeight="1">
      <c r="A500" s="1" t="s">
        <v>27</v>
      </c>
      <c r="B500" s="1">
        <v>499</v>
      </c>
      <c r="C500" s="1" t="s">
        <v>528</v>
      </c>
      <c r="D500">
        <f>IMAGE("https://raw.githubusercontent.com/stautonico/pokemon-home-pokedex/main/sprites/pignite.png", 2)</f>
        <v>0</v>
      </c>
      <c r="E500" s="29" t="s">
        <v>21</v>
      </c>
      <c r="F500" s="5" t="s">
        <v>524</v>
      </c>
    </row>
    <row r="501" spans="1:6" ht="72" customHeight="1">
      <c r="A501" s="1" t="s">
        <v>27</v>
      </c>
      <c r="B501" s="1">
        <v>500</v>
      </c>
      <c r="C501" s="1" t="s">
        <v>529</v>
      </c>
      <c r="D501">
        <f>IMAGE("https://raw.githubusercontent.com/stautonico/pokemon-home-pokedex/main/sprites/emboar.png", 2)</f>
        <v>0</v>
      </c>
      <c r="E501" s="29" t="s">
        <v>21</v>
      </c>
      <c r="F501" s="5" t="s">
        <v>524</v>
      </c>
    </row>
    <row r="502" spans="1:6" ht="72" customHeight="1">
      <c r="A502" s="1" t="s">
        <v>27</v>
      </c>
      <c r="B502" s="1">
        <v>501</v>
      </c>
      <c r="C502" s="1" t="s">
        <v>530</v>
      </c>
      <c r="D502">
        <f>IMAGE("https://raw.githubusercontent.com/stautonico/pokemon-home-pokedex/main/sprites/oshawott.png", 2)</f>
        <v>0</v>
      </c>
      <c r="E502" s="29" t="s">
        <v>21</v>
      </c>
      <c r="F502" s="5" t="s">
        <v>524</v>
      </c>
    </row>
    <row r="503" spans="1:6" ht="72" customHeight="1">
      <c r="A503" s="1" t="s">
        <v>27</v>
      </c>
      <c r="B503" s="1">
        <v>502</v>
      </c>
      <c r="C503" s="1" t="s">
        <v>531</v>
      </c>
      <c r="D503">
        <f>IMAGE("https://raw.githubusercontent.com/stautonico/pokemon-home-pokedex/main/sprites/dewott.png", 2)</f>
        <v>0</v>
      </c>
      <c r="E503" s="29" t="s">
        <v>21</v>
      </c>
      <c r="F503" s="5" t="s">
        <v>524</v>
      </c>
    </row>
    <row r="504" spans="1:6" ht="72" customHeight="1">
      <c r="A504" s="1" t="s">
        <v>27</v>
      </c>
      <c r="B504" s="1">
        <v>503</v>
      </c>
      <c r="C504" s="1" t="s">
        <v>532</v>
      </c>
      <c r="D504">
        <f>IMAGE("https://raw.githubusercontent.com/stautonico/pokemon-home-pokedex/main/sprites/samurott.png", 2)</f>
        <v>0</v>
      </c>
      <c r="E504" s="29" t="s">
        <v>21</v>
      </c>
      <c r="F504" s="5" t="s">
        <v>524</v>
      </c>
    </row>
    <row r="505" spans="1:6" ht="72" customHeight="1">
      <c r="A505" s="1" t="s">
        <v>27</v>
      </c>
      <c r="B505" s="1">
        <v>504</v>
      </c>
      <c r="C505" s="1" t="s">
        <v>533</v>
      </c>
      <c r="D505">
        <f>IMAGE("https://raw.githubusercontent.com/stautonico/pokemon-home-pokedex/main/sprites/patrat.png", 2)</f>
        <v>0</v>
      </c>
      <c r="E505" s="24" t="s">
        <v>16</v>
      </c>
      <c r="F505" s="5"/>
    </row>
    <row r="506" spans="1:6" ht="72" customHeight="1">
      <c r="A506" s="1" t="s">
        <v>27</v>
      </c>
      <c r="B506" s="1">
        <v>505</v>
      </c>
      <c r="C506" s="1" t="s">
        <v>534</v>
      </c>
      <c r="D506">
        <f>IMAGE("https://raw.githubusercontent.com/stautonico/pokemon-home-pokedex/main/sprites/watchog.png", 2)</f>
        <v>0</v>
      </c>
      <c r="E506" s="24" t="s">
        <v>16</v>
      </c>
      <c r="F506" s="5"/>
    </row>
    <row r="507" spans="1:6" ht="72" customHeight="1">
      <c r="A507" s="1" t="s">
        <v>27</v>
      </c>
      <c r="B507" s="1">
        <v>506</v>
      </c>
      <c r="C507" s="1" t="s">
        <v>535</v>
      </c>
      <c r="D507">
        <f>IMAGE("https://raw.githubusercontent.com/stautonico/pokemon-home-pokedex/main/sprites/lillipup.png", 2)</f>
        <v>0</v>
      </c>
      <c r="E507" s="3" t="s">
        <v>12</v>
      </c>
      <c r="F507" s="27" t="s">
        <v>17</v>
      </c>
    </row>
    <row r="508" spans="1:6" ht="72" customHeight="1">
      <c r="A508" s="1" t="s">
        <v>27</v>
      </c>
      <c r="B508" s="1">
        <v>507</v>
      </c>
      <c r="C508" s="1" t="s">
        <v>536</v>
      </c>
      <c r="D508">
        <f>IMAGE("https://raw.githubusercontent.com/stautonico/pokemon-home-pokedex/main/sprites/herdier.png", 2)</f>
        <v>0</v>
      </c>
      <c r="E508" s="3" t="s">
        <v>12</v>
      </c>
      <c r="F508" s="27" t="s">
        <v>17</v>
      </c>
    </row>
    <row r="509" spans="1:6" ht="72" customHeight="1">
      <c r="A509" s="1" t="s">
        <v>27</v>
      </c>
      <c r="B509" s="1">
        <v>508</v>
      </c>
      <c r="C509" s="1" t="s">
        <v>537</v>
      </c>
      <c r="D509">
        <f>IMAGE("https://raw.githubusercontent.com/stautonico/pokemon-home-pokedex/main/sprites/stoutland.png", 2)</f>
        <v>0</v>
      </c>
      <c r="E509" s="3" t="s">
        <v>12</v>
      </c>
      <c r="F509" s="27" t="s">
        <v>17</v>
      </c>
    </row>
    <row r="510" spans="1:6" ht="72" customHeight="1">
      <c r="A510" s="1" t="s">
        <v>27</v>
      </c>
      <c r="B510" s="1">
        <v>509</v>
      </c>
      <c r="C510" s="1" t="s">
        <v>538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27</v>
      </c>
      <c r="B511" s="1">
        <v>510</v>
      </c>
      <c r="C511" s="1" t="s">
        <v>539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27</v>
      </c>
      <c r="B512" s="1">
        <v>511</v>
      </c>
      <c r="C512" s="1" t="s">
        <v>540</v>
      </c>
      <c r="D512">
        <f>IMAGE("https://raw.githubusercontent.com/stautonico/pokemon-home-pokedex/main/sprites/pansage.png", 2)</f>
        <v>0</v>
      </c>
      <c r="E512" s="24" t="s">
        <v>16</v>
      </c>
      <c r="F512" s="5"/>
    </row>
    <row r="513" spans="1:6" ht="72" customHeight="1">
      <c r="A513" s="1" t="s">
        <v>27</v>
      </c>
      <c r="B513" s="1">
        <v>512</v>
      </c>
      <c r="C513" s="1" t="s">
        <v>541</v>
      </c>
      <c r="D513">
        <f>IMAGE("https://raw.githubusercontent.com/stautonico/pokemon-home-pokedex/main/sprites/simisage.png", 2)</f>
        <v>0</v>
      </c>
      <c r="E513" s="24" t="s">
        <v>16</v>
      </c>
      <c r="F513" s="5"/>
    </row>
    <row r="514" spans="1:6" ht="72" customHeight="1">
      <c r="A514" s="1" t="s">
        <v>27</v>
      </c>
      <c r="B514" s="1">
        <v>513</v>
      </c>
      <c r="C514" s="1" t="s">
        <v>542</v>
      </c>
      <c r="D514">
        <f>IMAGE("https://raw.githubusercontent.com/stautonico/pokemon-home-pokedex/main/sprites/pansear.png", 2)</f>
        <v>0</v>
      </c>
      <c r="E514" s="24" t="s">
        <v>16</v>
      </c>
      <c r="F514" s="5"/>
    </row>
    <row r="515" spans="1:6" ht="72" customHeight="1">
      <c r="A515" s="1" t="s">
        <v>27</v>
      </c>
      <c r="B515" s="1">
        <v>514</v>
      </c>
      <c r="C515" s="1" t="s">
        <v>543</v>
      </c>
      <c r="D515">
        <f>IMAGE("https://raw.githubusercontent.com/stautonico/pokemon-home-pokedex/main/sprites/simisear.png", 2)</f>
        <v>0</v>
      </c>
      <c r="E515" s="24" t="s">
        <v>16</v>
      </c>
      <c r="F515" s="5"/>
    </row>
    <row r="516" spans="1:6" ht="72" customHeight="1">
      <c r="A516" s="1" t="s">
        <v>27</v>
      </c>
      <c r="B516" s="1">
        <v>515</v>
      </c>
      <c r="C516" s="1" t="s">
        <v>544</v>
      </c>
      <c r="D516">
        <f>IMAGE("https://raw.githubusercontent.com/stautonico/pokemon-home-pokedex/main/sprites/panpour.png", 2)</f>
        <v>0</v>
      </c>
      <c r="E516" s="24" t="s">
        <v>16</v>
      </c>
      <c r="F516" s="5"/>
    </row>
    <row r="517" spans="1:6" ht="72" customHeight="1">
      <c r="A517" s="1" t="s">
        <v>27</v>
      </c>
      <c r="B517" s="1">
        <v>516</v>
      </c>
      <c r="C517" s="1" t="s">
        <v>545</v>
      </c>
      <c r="D517">
        <f>IMAGE("https://raw.githubusercontent.com/stautonico/pokemon-home-pokedex/main/sprites/simipour.png", 2)</f>
        <v>0</v>
      </c>
      <c r="E517" s="24" t="s">
        <v>16</v>
      </c>
      <c r="F517" s="5"/>
    </row>
    <row r="518" spans="1:6" ht="72" customHeight="1">
      <c r="A518" s="1" t="s">
        <v>27</v>
      </c>
      <c r="B518" s="1">
        <v>517</v>
      </c>
      <c r="C518" s="1" t="s">
        <v>546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27</v>
      </c>
      <c r="B519" s="1">
        <v>518</v>
      </c>
      <c r="C519" s="1" t="s">
        <v>547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27</v>
      </c>
      <c r="B520" s="1">
        <v>519</v>
      </c>
      <c r="C520" s="1" t="s">
        <v>548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27</v>
      </c>
      <c r="B521" s="1">
        <v>520</v>
      </c>
      <c r="C521" s="1" t="s">
        <v>549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27</v>
      </c>
      <c r="B522" s="1">
        <v>521</v>
      </c>
      <c r="C522" s="1" t="s">
        <v>550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27</v>
      </c>
      <c r="B523" s="1">
        <v>522</v>
      </c>
      <c r="C523" s="1" t="s">
        <v>551</v>
      </c>
      <c r="D523">
        <f>IMAGE("https://raw.githubusercontent.com/stautonico/pokemon-home-pokedex/main/sprites/blitzle.png", 2)</f>
        <v>0</v>
      </c>
      <c r="E523" s="29" t="s">
        <v>21</v>
      </c>
      <c r="F523" s="5"/>
    </row>
    <row r="524" spans="1:6" ht="72" customHeight="1">
      <c r="A524" s="1" t="s">
        <v>27</v>
      </c>
      <c r="B524" s="1">
        <v>523</v>
      </c>
      <c r="C524" s="1" t="s">
        <v>552</v>
      </c>
      <c r="D524">
        <f>IMAGE("https://raw.githubusercontent.com/stautonico/pokemon-home-pokedex/main/sprites/zebstrika.png", 2)</f>
        <v>0</v>
      </c>
      <c r="E524" s="29" t="s">
        <v>21</v>
      </c>
      <c r="F524" s="5"/>
    </row>
    <row r="525" spans="1:6" ht="72" customHeight="1">
      <c r="A525" s="1" t="s">
        <v>27</v>
      </c>
      <c r="B525" s="1">
        <v>524</v>
      </c>
      <c r="C525" s="1" t="s">
        <v>553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27</v>
      </c>
      <c r="B526" s="1">
        <v>525</v>
      </c>
      <c r="C526" s="1" t="s">
        <v>554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27</v>
      </c>
      <c r="B527" s="1">
        <v>526</v>
      </c>
      <c r="C527" s="1" t="s">
        <v>555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27</v>
      </c>
      <c r="B528" s="1">
        <v>527</v>
      </c>
      <c r="C528" s="1" t="s">
        <v>556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27</v>
      </c>
      <c r="B529" s="1">
        <v>528</v>
      </c>
      <c r="C529" s="1" t="s">
        <v>557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27</v>
      </c>
      <c r="B530" s="1">
        <v>529</v>
      </c>
      <c r="C530" s="1" t="s">
        <v>558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27</v>
      </c>
      <c r="B531" s="1">
        <v>530</v>
      </c>
      <c r="C531" s="1" t="s">
        <v>559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27</v>
      </c>
      <c r="B532" s="1">
        <v>531</v>
      </c>
      <c r="C532" s="1" t="s">
        <v>560</v>
      </c>
      <c r="D532">
        <f>IMAGE("https://raw.githubusercontent.com/stautonico/pokemon-home-pokedex/main/sprites/audino.png", 2)</f>
        <v>0</v>
      </c>
      <c r="E532" s="24" t="s">
        <v>16</v>
      </c>
      <c r="F532" s="5"/>
    </row>
    <row r="533" spans="1:6" ht="72" customHeight="1">
      <c r="A533" s="1" t="s">
        <v>27</v>
      </c>
      <c r="B533" s="1">
        <v>532</v>
      </c>
      <c r="C533" s="1" t="s">
        <v>561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27</v>
      </c>
      <c r="B534" s="1">
        <v>533</v>
      </c>
      <c r="C534" s="1" t="s">
        <v>562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27</v>
      </c>
      <c r="B535" s="1">
        <v>534</v>
      </c>
      <c r="C535" s="1" t="s">
        <v>563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27</v>
      </c>
      <c r="B536" s="1">
        <v>535</v>
      </c>
      <c r="C536" s="1" t="s">
        <v>564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27</v>
      </c>
      <c r="B537" s="1">
        <v>536</v>
      </c>
      <c r="C537" s="1" t="s">
        <v>565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27</v>
      </c>
      <c r="B538" s="1">
        <v>537</v>
      </c>
      <c r="C538" s="1" t="s">
        <v>566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27</v>
      </c>
      <c r="B539" s="1">
        <v>538</v>
      </c>
      <c r="C539" s="1" t="s">
        <v>567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27</v>
      </c>
      <c r="B540" s="1">
        <v>539</v>
      </c>
      <c r="C540" s="1" t="s">
        <v>568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27</v>
      </c>
      <c r="B541" s="1">
        <v>540</v>
      </c>
      <c r="C541" s="1" t="s">
        <v>569</v>
      </c>
      <c r="D541">
        <f>IMAGE("https://raw.githubusercontent.com/stautonico/pokemon-home-pokedex/main/sprites/sewaddle.png", 2)</f>
        <v>0</v>
      </c>
      <c r="E541" s="29" t="s">
        <v>21</v>
      </c>
      <c r="F541" s="5"/>
    </row>
    <row r="542" spans="1:6" ht="72" customHeight="1">
      <c r="A542" s="1" t="s">
        <v>27</v>
      </c>
      <c r="B542" s="1">
        <v>541</v>
      </c>
      <c r="C542" s="1" t="s">
        <v>570</v>
      </c>
      <c r="D542">
        <f>IMAGE("https://raw.githubusercontent.com/stautonico/pokemon-home-pokedex/main/sprites/swadloon.png", 2)</f>
        <v>0</v>
      </c>
      <c r="E542" s="29" t="s">
        <v>21</v>
      </c>
      <c r="F542" s="5"/>
    </row>
    <row r="543" spans="1:6" ht="72" customHeight="1">
      <c r="A543" s="1" t="s">
        <v>27</v>
      </c>
      <c r="B543" s="1">
        <v>542</v>
      </c>
      <c r="C543" s="1" t="s">
        <v>571</v>
      </c>
      <c r="D543">
        <f>IMAGE("https://raw.githubusercontent.com/stautonico/pokemon-home-pokedex/main/sprites/leavanny.png", 2)</f>
        <v>0</v>
      </c>
      <c r="E543" s="29" t="s">
        <v>21</v>
      </c>
      <c r="F543" s="5"/>
    </row>
    <row r="544" spans="1:6" ht="72" customHeight="1">
      <c r="A544" s="1" t="s">
        <v>27</v>
      </c>
      <c r="B544" s="1">
        <v>543</v>
      </c>
      <c r="C544" s="1" t="s">
        <v>572</v>
      </c>
      <c r="D544">
        <f>IMAGE("https://raw.githubusercontent.com/stautonico/pokemon-home-pokedex/main/sprites/venipede.png", 2)</f>
        <v>0</v>
      </c>
      <c r="E544" s="3" t="s">
        <v>12</v>
      </c>
      <c r="F544" s="24" t="s">
        <v>16</v>
      </c>
    </row>
    <row r="545" spans="1:6" ht="72" customHeight="1">
      <c r="A545" s="1" t="s">
        <v>27</v>
      </c>
      <c r="B545" s="1">
        <v>544</v>
      </c>
      <c r="C545" s="1" t="s">
        <v>573</v>
      </c>
      <c r="D545">
        <f>IMAGE("https://raw.githubusercontent.com/stautonico/pokemon-home-pokedex/main/sprites/whirlipede.png", 2)</f>
        <v>0</v>
      </c>
      <c r="E545" s="3" t="s">
        <v>12</v>
      </c>
      <c r="F545" s="24" t="s">
        <v>16</v>
      </c>
    </row>
    <row r="546" spans="1:6" ht="72" customHeight="1">
      <c r="A546" s="1" t="s">
        <v>27</v>
      </c>
      <c r="B546" s="1">
        <v>545</v>
      </c>
      <c r="C546" s="1" t="s">
        <v>574</v>
      </c>
      <c r="D546">
        <f>IMAGE("https://raw.githubusercontent.com/stautonico/pokemon-home-pokedex/main/sprites/scolipede.png", 2)</f>
        <v>0</v>
      </c>
      <c r="E546" s="3" t="s">
        <v>12</v>
      </c>
      <c r="F546" s="24" t="s">
        <v>16</v>
      </c>
    </row>
    <row r="547" spans="1:6" ht="72" customHeight="1">
      <c r="A547" s="1" t="s">
        <v>27</v>
      </c>
      <c r="B547" s="1">
        <v>546</v>
      </c>
      <c r="C547" s="1" t="s">
        <v>575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27</v>
      </c>
      <c r="B548" s="1">
        <v>547</v>
      </c>
      <c r="C548" s="1" t="s">
        <v>576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27</v>
      </c>
      <c r="B549" s="1">
        <v>548</v>
      </c>
      <c r="C549" s="1" t="s">
        <v>577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578</v>
      </c>
    </row>
    <row r="550" spans="1:6" ht="72" customHeight="1">
      <c r="A550" s="1" t="s">
        <v>27</v>
      </c>
      <c r="B550" s="1">
        <v>549</v>
      </c>
      <c r="C550" s="1" t="s">
        <v>579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578</v>
      </c>
    </row>
    <row r="551" spans="1:6" ht="72" customHeight="1">
      <c r="A551" s="1" t="s">
        <v>27</v>
      </c>
      <c r="B551" s="1">
        <v>550</v>
      </c>
      <c r="C551" s="1" t="s">
        <v>580</v>
      </c>
      <c r="D551">
        <f>IMAGE("https://raw.githubusercontent.com/stautonico/pokemon-home-pokedex/main/sprites/basculin.png", 2)</f>
        <v>0</v>
      </c>
      <c r="E551" s="4" t="s">
        <v>13</v>
      </c>
      <c r="F551" s="5"/>
    </row>
    <row r="552" spans="1:6" ht="72" customHeight="1">
      <c r="A552" s="1" t="s">
        <v>27</v>
      </c>
      <c r="B552" s="1">
        <v>551</v>
      </c>
      <c r="C552" s="1" t="s">
        <v>581</v>
      </c>
      <c r="D552">
        <f>IMAGE("https://raw.githubusercontent.com/stautonico/pokemon-home-pokedex/main/sprites/sandile.png", 2)</f>
        <v>0</v>
      </c>
      <c r="E552" s="3" t="s">
        <v>12</v>
      </c>
      <c r="F552" s="29" t="s">
        <v>21</v>
      </c>
    </row>
    <row r="553" spans="1:6" ht="72" customHeight="1">
      <c r="A553" s="1" t="s">
        <v>27</v>
      </c>
      <c r="B553" s="1">
        <v>552</v>
      </c>
      <c r="C553" s="1" t="s">
        <v>582</v>
      </c>
      <c r="D553">
        <f>IMAGE("https://raw.githubusercontent.com/stautonico/pokemon-home-pokedex/main/sprites/krokorok.png", 2)</f>
        <v>0</v>
      </c>
      <c r="E553" s="3" t="s">
        <v>12</v>
      </c>
      <c r="F553" s="29" t="s">
        <v>21</v>
      </c>
    </row>
    <row r="554" spans="1:6" ht="72" customHeight="1">
      <c r="A554" s="1" t="s">
        <v>27</v>
      </c>
      <c r="B554" s="1">
        <v>553</v>
      </c>
      <c r="C554" s="1" t="s">
        <v>583</v>
      </c>
      <c r="D554">
        <f>IMAGE("https://raw.githubusercontent.com/stautonico/pokemon-home-pokedex/main/sprites/krookodile.png", 2)</f>
        <v>0</v>
      </c>
      <c r="E554" s="3" t="s">
        <v>12</v>
      </c>
      <c r="F554" s="29" t="s">
        <v>21</v>
      </c>
    </row>
    <row r="555" spans="1:6" ht="72" customHeight="1">
      <c r="A555" s="1" t="s">
        <v>27</v>
      </c>
      <c r="B555" s="1">
        <v>554</v>
      </c>
      <c r="C555" s="1" t="s">
        <v>584</v>
      </c>
      <c r="D555">
        <f>IMAGE("https://raw.githubusercontent.com/stautonico/pokemon-home-pokedex/main/sprites/darumaka.png", 2)</f>
        <v>0</v>
      </c>
      <c r="E555" s="30" t="s">
        <v>14</v>
      </c>
      <c r="F555" s="29" t="s">
        <v>21</v>
      </c>
    </row>
    <row r="556" spans="1:6" ht="72" customHeight="1">
      <c r="A556" s="1" t="s">
        <v>27</v>
      </c>
      <c r="B556" s="1">
        <v>555</v>
      </c>
      <c r="C556" s="1" t="s">
        <v>585</v>
      </c>
      <c r="D556">
        <f>IMAGE("https://raw.githubusercontent.com/stautonico/pokemon-home-pokedex/main/sprites/darmanitan.png", 2)</f>
        <v>0</v>
      </c>
      <c r="E556" s="30" t="s">
        <v>14</v>
      </c>
      <c r="F556" s="29" t="s">
        <v>21</v>
      </c>
    </row>
    <row r="557" spans="1:6" ht="72" customHeight="1">
      <c r="A557" s="1" t="s">
        <v>27</v>
      </c>
      <c r="B557" s="1">
        <v>556</v>
      </c>
      <c r="C557" s="1" t="s">
        <v>586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27</v>
      </c>
      <c r="B558" s="1">
        <v>557</v>
      </c>
      <c r="C558" s="1" t="s">
        <v>587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27</v>
      </c>
      <c r="B559" s="1">
        <v>558</v>
      </c>
      <c r="C559" s="1" t="s">
        <v>588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27</v>
      </c>
      <c r="B560" s="1">
        <v>559</v>
      </c>
      <c r="C560" s="1" t="s">
        <v>589</v>
      </c>
      <c r="D560">
        <f>IMAGE("https://raw.githubusercontent.com/stautonico/pokemon-home-pokedex/main/sprites/scraggy.png", 2)</f>
        <v>0</v>
      </c>
      <c r="E560" s="30" t="s">
        <v>14</v>
      </c>
      <c r="F560" s="24" t="s">
        <v>16</v>
      </c>
    </row>
    <row r="561" spans="1:6" ht="72" customHeight="1">
      <c r="A561" s="1" t="s">
        <v>27</v>
      </c>
      <c r="B561" s="1">
        <v>560</v>
      </c>
      <c r="C561" s="1" t="s">
        <v>590</v>
      </c>
      <c r="D561">
        <f>IMAGE("https://raw.githubusercontent.com/stautonico/pokemon-home-pokedex/main/sprites/scrafty.png", 2)</f>
        <v>0</v>
      </c>
      <c r="E561" s="30" t="s">
        <v>14</v>
      </c>
      <c r="F561" s="24" t="s">
        <v>16</v>
      </c>
    </row>
    <row r="562" spans="1:6" ht="72" customHeight="1">
      <c r="A562" s="1" t="s">
        <v>27</v>
      </c>
      <c r="B562" s="1">
        <v>561</v>
      </c>
      <c r="C562" s="1" t="s">
        <v>591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27</v>
      </c>
      <c r="B563" s="1">
        <v>562</v>
      </c>
      <c r="C563" s="1" t="s">
        <v>592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27</v>
      </c>
      <c r="B564" s="1">
        <v>563</v>
      </c>
      <c r="C564" s="1" t="s">
        <v>593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27</v>
      </c>
      <c r="B565" s="1">
        <v>564</v>
      </c>
      <c r="C565" s="1" t="s">
        <v>594</v>
      </c>
      <c r="D565">
        <f>IMAGE("https://raw.githubusercontent.com/stautonico/pokemon-home-pokedex/main/sprites/tirtouga.png", 2)</f>
        <v>0</v>
      </c>
      <c r="E565" s="24" t="s">
        <v>16</v>
      </c>
      <c r="F565" s="27" t="s">
        <v>17</v>
      </c>
    </row>
    <row r="566" spans="1:6" ht="72" customHeight="1">
      <c r="A566" s="1" t="s">
        <v>27</v>
      </c>
      <c r="B566" s="1">
        <v>565</v>
      </c>
      <c r="C566" s="1" t="s">
        <v>595</v>
      </c>
      <c r="D566">
        <f>IMAGE("https://raw.githubusercontent.com/stautonico/pokemon-home-pokedex/main/sprites/carracosta.png", 2)</f>
        <v>0</v>
      </c>
      <c r="E566" s="24" t="s">
        <v>16</v>
      </c>
      <c r="F566" s="27" t="s">
        <v>17</v>
      </c>
    </row>
    <row r="567" spans="1:6" ht="72" customHeight="1">
      <c r="A567" s="1" t="s">
        <v>27</v>
      </c>
      <c r="B567" s="1">
        <v>566</v>
      </c>
      <c r="C567" s="1" t="s">
        <v>596</v>
      </c>
      <c r="D567">
        <f>IMAGE("https://raw.githubusercontent.com/stautonico/pokemon-home-pokedex/main/sprites/archen.png", 2)</f>
        <v>0</v>
      </c>
      <c r="E567" s="24" t="s">
        <v>16</v>
      </c>
      <c r="F567" s="27" t="s">
        <v>17</v>
      </c>
    </row>
    <row r="568" spans="1:6" ht="72" customHeight="1">
      <c r="A568" s="1" t="s">
        <v>27</v>
      </c>
      <c r="B568" s="1">
        <v>567</v>
      </c>
      <c r="C568" s="1" t="s">
        <v>597</v>
      </c>
      <c r="D568">
        <f>IMAGE("https://raw.githubusercontent.com/stautonico/pokemon-home-pokedex/main/sprites/archeops.png", 2)</f>
        <v>0</v>
      </c>
      <c r="E568" s="24" t="s">
        <v>16</v>
      </c>
      <c r="F568" s="27" t="s">
        <v>17</v>
      </c>
    </row>
    <row r="569" spans="1:6" ht="72" customHeight="1">
      <c r="A569" s="1" t="s">
        <v>27</v>
      </c>
      <c r="B569" s="1">
        <v>568</v>
      </c>
      <c r="C569" s="1" t="s">
        <v>598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27</v>
      </c>
      <c r="B570" s="1">
        <v>569</v>
      </c>
      <c r="C570" s="1" t="s">
        <v>599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27</v>
      </c>
      <c r="B571" s="1">
        <v>570</v>
      </c>
      <c r="C571" s="1" t="s">
        <v>600</v>
      </c>
      <c r="D571">
        <f>IMAGE("https://raw.githubusercontent.com/stautonico/pokemon-home-pokedex/main/sprites/zorua.png", 2)</f>
        <v>0</v>
      </c>
      <c r="E571" s="3" t="s">
        <v>12</v>
      </c>
      <c r="F571" s="24" t="s">
        <v>16</v>
      </c>
    </row>
    <row r="572" spans="1:6" ht="72" customHeight="1">
      <c r="A572" s="1" t="s">
        <v>27</v>
      </c>
      <c r="B572" s="1">
        <v>571</v>
      </c>
      <c r="C572" s="1" t="s">
        <v>601</v>
      </c>
      <c r="D572">
        <f>IMAGE("https://raw.githubusercontent.com/stautonico/pokemon-home-pokedex/main/sprites/zoroark.png", 2)</f>
        <v>0</v>
      </c>
      <c r="E572" s="3" t="s">
        <v>12</v>
      </c>
      <c r="F572" s="24" t="s">
        <v>16</v>
      </c>
    </row>
    <row r="573" spans="1:6" ht="72" customHeight="1">
      <c r="A573" s="1" t="s">
        <v>27</v>
      </c>
      <c r="B573" s="1">
        <v>572</v>
      </c>
      <c r="C573" s="1" t="s">
        <v>602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27</v>
      </c>
      <c r="B574" s="1">
        <v>573</v>
      </c>
      <c r="C574" s="1" t="s">
        <v>603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27</v>
      </c>
      <c r="B575" s="1">
        <v>574</v>
      </c>
      <c r="C575" s="1" t="s">
        <v>604</v>
      </c>
      <c r="D575">
        <f>IMAGE("https://raw.githubusercontent.com/stautonico/pokemon-home-pokedex/main/sprites/gothita.png", 2)</f>
        <v>0</v>
      </c>
      <c r="E575" s="30" t="s">
        <v>14</v>
      </c>
      <c r="F575" s="24" t="s">
        <v>16</v>
      </c>
    </row>
    <row r="576" spans="1:6" ht="72" customHeight="1">
      <c r="A576" s="1" t="s">
        <v>27</v>
      </c>
      <c r="B576" s="1">
        <v>575</v>
      </c>
      <c r="C576" s="1" t="s">
        <v>605</v>
      </c>
      <c r="D576">
        <f>IMAGE("https://raw.githubusercontent.com/stautonico/pokemon-home-pokedex/main/sprites/gothorita.png", 2)</f>
        <v>0</v>
      </c>
      <c r="E576" s="30" t="s">
        <v>14</v>
      </c>
      <c r="F576" s="24" t="s">
        <v>16</v>
      </c>
    </row>
    <row r="577" spans="1:6" ht="72" customHeight="1">
      <c r="A577" s="1" t="s">
        <v>27</v>
      </c>
      <c r="B577" s="1">
        <v>576</v>
      </c>
      <c r="C577" s="1" t="s">
        <v>606</v>
      </c>
      <c r="D577">
        <f>IMAGE("https://raw.githubusercontent.com/stautonico/pokemon-home-pokedex/main/sprites/gothitelle.png", 2)</f>
        <v>0</v>
      </c>
      <c r="E577" s="30" t="s">
        <v>14</v>
      </c>
      <c r="F577" s="24" t="s">
        <v>16</v>
      </c>
    </row>
    <row r="578" spans="1:6" ht="72" customHeight="1">
      <c r="A578" s="1" t="s">
        <v>27</v>
      </c>
      <c r="B578" s="1">
        <v>577</v>
      </c>
      <c r="C578" s="1" t="s">
        <v>607</v>
      </c>
      <c r="D578">
        <f>IMAGE("https://raw.githubusercontent.com/stautonico/pokemon-home-pokedex/main/sprites/solosis.png", 2)</f>
        <v>0</v>
      </c>
      <c r="E578" s="28" t="s">
        <v>15</v>
      </c>
      <c r="F578" s="24" t="s">
        <v>16</v>
      </c>
    </row>
    <row r="579" spans="1:6" ht="72" customHeight="1">
      <c r="A579" s="1" t="s">
        <v>27</v>
      </c>
      <c r="B579" s="1">
        <v>578</v>
      </c>
      <c r="C579" s="1" t="s">
        <v>608</v>
      </c>
      <c r="D579">
        <f>IMAGE("https://raw.githubusercontent.com/stautonico/pokemon-home-pokedex/main/sprites/duosion.png", 2)</f>
        <v>0</v>
      </c>
      <c r="E579" s="28" t="s">
        <v>15</v>
      </c>
      <c r="F579" s="24" t="s">
        <v>16</v>
      </c>
    </row>
    <row r="580" spans="1:6" ht="72" customHeight="1">
      <c r="A580" s="1" t="s">
        <v>27</v>
      </c>
      <c r="B580" s="1">
        <v>579</v>
      </c>
      <c r="C580" s="1" t="s">
        <v>609</v>
      </c>
      <c r="D580">
        <f>IMAGE("https://raw.githubusercontent.com/stautonico/pokemon-home-pokedex/main/sprites/reuniclus.png", 2)</f>
        <v>0</v>
      </c>
      <c r="E580" s="28" t="s">
        <v>15</v>
      </c>
      <c r="F580" s="24" t="s">
        <v>16</v>
      </c>
    </row>
    <row r="581" spans="1:6" ht="72" customHeight="1">
      <c r="A581" s="1" t="s">
        <v>27</v>
      </c>
      <c r="B581" s="1">
        <v>580</v>
      </c>
      <c r="C581" s="1" t="s">
        <v>610</v>
      </c>
      <c r="D581">
        <f>IMAGE("https://raw.githubusercontent.com/stautonico/pokemon-home-pokedex/main/sprites/ducklett.png", 2)</f>
        <v>0</v>
      </c>
      <c r="E581" s="24" t="s">
        <v>16</v>
      </c>
      <c r="F581" s="5"/>
    </row>
    <row r="582" spans="1:6" ht="72" customHeight="1">
      <c r="A582" s="1" t="s">
        <v>27</v>
      </c>
      <c r="B582" s="1">
        <v>581</v>
      </c>
      <c r="C582" s="1" t="s">
        <v>611</v>
      </c>
      <c r="D582">
        <f>IMAGE("https://raw.githubusercontent.com/stautonico/pokemon-home-pokedex/main/sprites/swanna.png", 2)</f>
        <v>0</v>
      </c>
      <c r="E582" s="24" t="s">
        <v>16</v>
      </c>
      <c r="F582" s="5"/>
    </row>
    <row r="583" spans="1:6" ht="72" customHeight="1">
      <c r="A583" s="1" t="s">
        <v>27</v>
      </c>
      <c r="B583" s="1">
        <v>582</v>
      </c>
      <c r="C583" s="1" t="s">
        <v>612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27</v>
      </c>
      <c r="B584" s="1">
        <v>583</v>
      </c>
      <c r="C584" s="1" t="s">
        <v>613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27</v>
      </c>
      <c r="B585" s="1">
        <v>584</v>
      </c>
      <c r="C585" s="1" t="s">
        <v>614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27</v>
      </c>
      <c r="B586" s="1">
        <v>585</v>
      </c>
      <c r="C586" s="1" t="s">
        <v>615</v>
      </c>
      <c r="D586">
        <f>IMAGE("https://raw.githubusercontent.com/stautonico/pokemon-home-pokedex/main/sprites/deerling.png", 2)</f>
        <v>0</v>
      </c>
      <c r="E586" s="29" t="s">
        <v>21</v>
      </c>
      <c r="F586" s="5"/>
    </row>
    <row r="587" spans="1:6" ht="72" customHeight="1">
      <c r="A587" s="1" t="s">
        <v>27</v>
      </c>
      <c r="B587" s="1">
        <v>586</v>
      </c>
      <c r="C587" s="1" t="s">
        <v>616</v>
      </c>
      <c r="D587">
        <f>IMAGE("https://raw.githubusercontent.com/stautonico/pokemon-home-pokedex/main/sprites/sawsbuck.png", 2)</f>
        <v>0</v>
      </c>
      <c r="E587" s="29" t="s">
        <v>21</v>
      </c>
      <c r="F587" s="5"/>
    </row>
    <row r="588" spans="1:6" ht="72" customHeight="1">
      <c r="A588" s="1" t="s">
        <v>27</v>
      </c>
      <c r="B588" s="1">
        <v>587</v>
      </c>
      <c r="C588" s="1" t="s">
        <v>617</v>
      </c>
      <c r="D588">
        <f>IMAGE("https://raw.githubusercontent.com/stautonico/pokemon-home-pokedex/main/sprites/emolga.png", 2)</f>
        <v>0</v>
      </c>
      <c r="E588" s="3" t="s">
        <v>12</v>
      </c>
      <c r="F588" s="24" t="s">
        <v>16</v>
      </c>
    </row>
    <row r="589" spans="1:6" ht="72" customHeight="1">
      <c r="A589" s="1" t="s">
        <v>27</v>
      </c>
      <c r="B589" s="1">
        <v>588</v>
      </c>
      <c r="C589" s="1" t="s">
        <v>618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27</v>
      </c>
      <c r="B590" s="1">
        <v>589</v>
      </c>
      <c r="C590" s="1" t="s">
        <v>619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27</v>
      </c>
      <c r="B591" s="1">
        <v>590</v>
      </c>
      <c r="C591" s="1" t="s">
        <v>620</v>
      </c>
      <c r="D591">
        <f>IMAGE("https://raw.githubusercontent.com/stautonico/pokemon-home-pokedex/main/sprites/foongus.png", 2)</f>
        <v>0</v>
      </c>
      <c r="E591" s="3" t="s">
        <v>12</v>
      </c>
      <c r="F591" s="24" t="s">
        <v>16</v>
      </c>
    </row>
    <row r="592" spans="1:6" ht="72" customHeight="1">
      <c r="A592" s="1" t="s">
        <v>27</v>
      </c>
      <c r="B592" s="1">
        <v>591</v>
      </c>
      <c r="C592" s="1" t="s">
        <v>621</v>
      </c>
      <c r="D592">
        <f>IMAGE("https://raw.githubusercontent.com/stautonico/pokemon-home-pokedex/main/sprites/amoonguss.png", 2)</f>
        <v>0</v>
      </c>
      <c r="E592" s="3" t="s">
        <v>12</v>
      </c>
      <c r="F592" s="24" t="s">
        <v>16</v>
      </c>
    </row>
    <row r="593" spans="1:6" ht="72" customHeight="1">
      <c r="A593" s="1" t="s">
        <v>27</v>
      </c>
      <c r="B593" s="1">
        <v>592</v>
      </c>
      <c r="C593" s="1" t="s">
        <v>622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27</v>
      </c>
      <c r="B594" s="1">
        <v>593</v>
      </c>
      <c r="C594" s="1" t="s">
        <v>623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27</v>
      </c>
      <c r="B595" s="1">
        <v>594</v>
      </c>
      <c r="C595" s="1" t="s">
        <v>624</v>
      </c>
      <c r="D595">
        <f>IMAGE("https://raw.githubusercontent.com/stautonico/pokemon-home-pokedex/main/sprites/alomomola.png", 2)</f>
        <v>0</v>
      </c>
      <c r="E595" s="24" t="s">
        <v>16</v>
      </c>
      <c r="F595" s="5"/>
    </row>
    <row r="596" spans="1:6" ht="72" customHeight="1">
      <c r="A596" s="1" t="s">
        <v>27</v>
      </c>
      <c r="B596" s="1">
        <v>595</v>
      </c>
      <c r="C596" s="1" t="s">
        <v>625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27</v>
      </c>
      <c r="B597" s="1">
        <v>596</v>
      </c>
      <c r="C597" s="1" t="s">
        <v>626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27</v>
      </c>
      <c r="B598" s="1">
        <v>597</v>
      </c>
      <c r="C598" s="1" t="s">
        <v>627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27</v>
      </c>
      <c r="B599" s="1">
        <v>598</v>
      </c>
      <c r="C599" s="1" t="s">
        <v>628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27</v>
      </c>
      <c r="B600" s="1">
        <v>599</v>
      </c>
      <c r="C600" s="1" t="s">
        <v>629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27</v>
      </c>
      <c r="B601" s="1">
        <v>600</v>
      </c>
      <c r="C601" s="1" t="s">
        <v>630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27</v>
      </c>
      <c r="B602" s="1">
        <v>601</v>
      </c>
      <c r="C602" s="1" t="s">
        <v>631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27</v>
      </c>
      <c r="B603" s="1">
        <v>602</v>
      </c>
      <c r="C603" s="1" t="s">
        <v>632</v>
      </c>
      <c r="D603">
        <f>IMAGE("https://raw.githubusercontent.com/stautonico/pokemon-home-pokedex/main/sprites/tynamo.png", 2)</f>
        <v>0</v>
      </c>
      <c r="E603" s="27" t="s">
        <v>17</v>
      </c>
      <c r="F603" s="5"/>
    </row>
    <row r="604" spans="1:6" ht="72" customHeight="1">
      <c r="A604" s="1" t="s">
        <v>27</v>
      </c>
      <c r="B604" s="1">
        <v>603</v>
      </c>
      <c r="C604" s="1" t="s">
        <v>633</v>
      </c>
      <c r="D604">
        <f>IMAGE("https://raw.githubusercontent.com/stautonico/pokemon-home-pokedex/main/sprites/eelektrik.png", 2)</f>
        <v>0</v>
      </c>
      <c r="E604" s="27" t="s">
        <v>17</v>
      </c>
      <c r="F604" s="5"/>
    </row>
    <row r="605" spans="1:6" ht="72" customHeight="1">
      <c r="A605" s="1" t="s">
        <v>27</v>
      </c>
      <c r="B605" s="1">
        <v>604</v>
      </c>
      <c r="C605" s="1" t="s">
        <v>634</v>
      </c>
      <c r="D605">
        <f>IMAGE("https://raw.githubusercontent.com/stautonico/pokemon-home-pokedex/main/sprites/eelektross.png", 2)</f>
        <v>0</v>
      </c>
      <c r="E605" s="27" t="s">
        <v>17</v>
      </c>
      <c r="F605" s="5"/>
    </row>
    <row r="606" spans="1:6" ht="72" customHeight="1">
      <c r="A606" s="1" t="s">
        <v>27</v>
      </c>
      <c r="B606" s="1">
        <v>605</v>
      </c>
      <c r="C606" s="1" t="s">
        <v>635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27</v>
      </c>
      <c r="B607" s="1">
        <v>606</v>
      </c>
      <c r="C607" s="1" t="s">
        <v>636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27</v>
      </c>
      <c r="B608" s="1">
        <v>607</v>
      </c>
      <c r="C608" s="1" t="s">
        <v>637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27</v>
      </c>
      <c r="B609" s="1">
        <v>608</v>
      </c>
      <c r="C609" s="1" t="s">
        <v>638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27</v>
      </c>
      <c r="B610" s="1">
        <v>609</v>
      </c>
      <c r="C610" s="1" t="s">
        <v>639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27</v>
      </c>
      <c r="B611" s="1">
        <v>610</v>
      </c>
      <c r="C611" s="1" t="s">
        <v>640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27</v>
      </c>
      <c r="B612" s="1">
        <v>611</v>
      </c>
      <c r="C612" s="1" t="s">
        <v>641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27</v>
      </c>
      <c r="B613" s="1">
        <v>612</v>
      </c>
      <c r="C613" s="1" t="s">
        <v>642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27</v>
      </c>
      <c r="B614" s="1">
        <v>613</v>
      </c>
      <c r="C614" s="1" t="s">
        <v>643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27</v>
      </c>
      <c r="B615" s="1">
        <v>614</v>
      </c>
      <c r="C615" s="1" t="s">
        <v>644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27</v>
      </c>
      <c r="B616" s="1">
        <v>615</v>
      </c>
      <c r="C616" s="1" t="s">
        <v>645</v>
      </c>
      <c r="D616">
        <f>IMAGE("https://raw.githubusercontent.com/stautonico/pokemon-home-pokedex/main/sprites/cryogonal.png", 2)</f>
        <v>0</v>
      </c>
      <c r="E616" s="24" t="s">
        <v>16</v>
      </c>
      <c r="F616" s="5"/>
    </row>
    <row r="617" spans="1:6" ht="72" customHeight="1">
      <c r="A617" s="1" t="s">
        <v>27</v>
      </c>
      <c r="B617" s="1">
        <v>616</v>
      </c>
      <c r="C617" s="1" t="s">
        <v>646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27</v>
      </c>
      <c r="B618" s="1">
        <v>617</v>
      </c>
      <c r="C618" s="1" t="s">
        <v>647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27</v>
      </c>
      <c r="B619" s="1">
        <v>618</v>
      </c>
      <c r="C619" s="1" t="s">
        <v>648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27</v>
      </c>
      <c r="B620" s="1">
        <v>619</v>
      </c>
      <c r="C620" s="1" t="s">
        <v>649</v>
      </c>
      <c r="D620">
        <f>IMAGE("https://raw.githubusercontent.com/stautonico/pokemon-home-pokedex/main/sprites/mienfoo.png", 2)</f>
        <v>0</v>
      </c>
      <c r="E620" s="3" t="s">
        <v>12</v>
      </c>
      <c r="F620" s="27" t="s">
        <v>17</v>
      </c>
    </row>
    <row r="621" spans="1:6" ht="72" customHeight="1">
      <c r="A621" s="1" t="s">
        <v>27</v>
      </c>
      <c r="B621" s="1">
        <v>620</v>
      </c>
      <c r="C621" s="1" t="s">
        <v>650</v>
      </c>
      <c r="D621">
        <f>IMAGE("https://raw.githubusercontent.com/stautonico/pokemon-home-pokedex/main/sprites/mienshao.png", 2)</f>
        <v>0</v>
      </c>
      <c r="E621" s="3" t="s">
        <v>12</v>
      </c>
      <c r="F621" s="27" t="s">
        <v>17</v>
      </c>
    </row>
    <row r="622" spans="1:6" ht="72" customHeight="1">
      <c r="A622" s="1" t="s">
        <v>27</v>
      </c>
      <c r="B622" s="1">
        <v>621</v>
      </c>
      <c r="C622" s="1" t="s">
        <v>651</v>
      </c>
      <c r="D622">
        <f>IMAGE("https://raw.githubusercontent.com/stautonico/pokemon-home-pokedex/main/sprites/druddigon.png", 2)</f>
        <v>0</v>
      </c>
      <c r="E622" s="3" t="s">
        <v>12</v>
      </c>
      <c r="F622" s="27" t="s">
        <v>17</v>
      </c>
    </row>
    <row r="623" spans="1:6" ht="72" customHeight="1">
      <c r="A623" s="1" t="s">
        <v>27</v>
      </c>
      <c r="B623" s="1">
        <v>622</v>
      </c>
      <c r="C623" s="1" t="s">
        <v>652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27</v>
      </c>
      <c r="B624" s="1">
        <v>623</v>
      </c>
      <c r="C624" s="1" t="s">
        <v>653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27</v>
      </c>
      <c r="B625" s="1">
        <v>624</v>
      </c>
      <c r="C625" s="1" t="s">
        <v>654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27</v>
      </c>
      <c r="B626" s="1">
        <v>625</v>
      </c>
      <c r="C626" s="1" t="s">
        <v>655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27</v>
      </c>
      <c r="B627" s="1">
        <v>626</v>
      </c>
      <c r="C627" s="1" t="s">
        <v>656</v>
      </c>
      <c r="D627">
        <f>IMAGE("https://raw.githubusercontent.com/stautonico/pokemon-home-pokedex/main/sprites/bouffalant.png", 2)</f>
        <v>0</v>
      </c>
      <c r="E627" s="3" t="s">
        <v>12</v>
      </c>
      <c r="F627" s="29" t="s">
        <v>21</v>
      </c>
    </row>
    <row r="628" spans="1:6" ht="72" customHeight="1">
      <c r="A628" s="1" t="s">
        <v>27</v>
      </c>
      <c r="B628" s="1">
        <v>627</v>
      </c>
      <c r="C628" s="1" t="s">
        <v>657</v>
      </c>
      <c r="D628">
        <f>IMAGE("https://raw.githubusercontent.com/stautonico/pokemon-home-pokedex/main/sprites/rufflet.png", 2)</f>
        <v>0</v>
      </c>
      <c r="E628" s="30" t="s">
        <v>14</v>
      </c>
      <c r="F628" s="34" t="s">
        <v>19</v>
      </c>
    </row>
    <row r="629" spans="1:6" ht="72" customHeight="1">
      <c r="A629" s="1" t="s">
        <v>27</v>
      </c>
      <c r="B629" s="1">
        <v>628</v>
      </c>
      <c r="C629" s="1" t="s">
        <v>658</v>
      </c>
      <c r="D629">
        <f>IMAGE("https://raw.githubusercontent.com/stautonico/pokemon-home-pokedex/main/sprites/braviary.png", 2)</f>
        <v>0</v>
      </c>
      <c r="E629" s="30" t="s">
        <v>14</v>
      </c>
      <c r="F629" s="34" t="s">
        <v>19</v>
      </c>
    </row>
    <row r="630" spans="1:6" ht="72" customHeight="1">
      <c r="A630" s="1" t="s">
        <v>27</v>
      </c>
      <c r="B630" s="1">
        <v>629</v>
      </c>
      <c r="C630" s="1" t="s">
        <v>659</v>
      </c>
      <c r="D630">
        <f>IMAGE("https://raw.githubusercontent.com/stautonico/pokemon-home-pokedex/main/sprites/vullaby.png", 2)</f>
        <v>0</v>
      </c>
      <c r="E630" s="28" t="s">
        <v>15</v>
      </c>
      <c r="F630" s="35" t="s">
        <v>20</v>
      </c>
    </row>
    <row r="631" spans="1:6" ht="72" customHeight="1">
      <c r="A631" s="1" t="s">
        <v>27</v>
      </c>
      <c r="B631" s="1">
        <v>630</v>
      </c>
      <c r="C631" s="1" t="s">
        <v>660</v>
      </c>
      <c r="D631">
        <f>IMAGE("https://raw.githubusercontent.com/stautonico/pokemon-home-pokedex/main/sprites/mandibuzz.png", 2)</f>
        <v>0</v>
      </c>
      <c r="E631" s="28" t="s">
        <v>15</v>
      </c>
      <c r="F631" s="35" t="s">
        <v>20</v>
      </c>
    </row>
    <row r="632" spans="1:6" ht="72" customHeight="1">
      <c r="A632" s="1" t="s">
        <v>27</v>
      </c>
      <c r="B632" s="1">
        <v>631</v>
      </c>
      <c r="C632" s="1" t="s">
        <v>661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27</v>
      </c>
      <c r="B633" s="1">
        <v>632</v>
      </c>
      <c r="C633" s="1" t="s">
        <v>662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27</v>
      </c>
      <c r="B634" s="1">
        <v>633</v>
      </c>
      <c r="C634" s="1" t="s">
        <v>663</v>
      </c>
      <c r="D634">
        <f>IMAGE("https://raw.githubusercontent.com/stautonico/pokemon-home-pokedex/main/sprites/deino.png", 2)</f>
        <v>0</v>
      </c>
      <c r="E634" s="30" t="s">
        <v>14</v>
      </c>
      <c r="F634" s="29" t="s">
        <v>21</v>
      </c>
    </row>
    <row r="635" spans="1:6" ht="72" customHeight="1">
      <c r="A635" s="1" t="s">
        <v>27</v>
      </c>
      <c r="B635" s="1">
        <v>634</v>
      </c>
      <c r="C635" s="1" t="s">
        <v>664</v>
      </c>
      <c r="D635">
        <f>IMAGE("https://raw.githubusercontent.com/stautonico/pokemon-home-pokedex/main/sprites/zweilous.png", 2)</f>
        <v>0</v>
      </c>
      <c r="E635" s="30" t="s">
        <v>14</v>
      </c>
      <c r="F635" s="29" t="s">
        <v>21</v>
      </c>
    </row>
    <row r="636" spans="1:6" ht="72" customHeight="1">
      <c r="A636" s="1" t="s">
        <v>27</v>
      </c>
      <c r="B636" s="1">
        <v>635</v>
      </c>
      <c r="C636" s="1" t="s">
        <v>665</v>
      </c>
      <c r="D636">
        <f>IMAGE("https://raw.githubusercontent.com/stautonico/pokemon-home-pokedex/main/sprites/hydreigon.png", 2)</f>
        <v>0</v>
      </c>
      <c r="E636" s="30" t="s">
        <v>14</v>
      </c>
      <c r="F636" s="29" t="s">
        <v>21</v>
      </c>
    </row>
    <row r="637" spans="1:6" ht="72" customHeight="1">
      <c r="A637" s="1" t="s">
        <v>27</v>
      </c>
      <c r="B637" s="1">
        <v>636</v>
      </c>
      <c r="C637" s="1" t="s">
        <v>666</v>
      </c>
      <c r="D637">
        <f>IMAGE("https://raw.githubusercontent.com/stautonico/pokemon-home-pokedex/main/sprites/larvesta.png", 2)</f>
        <v>0</v>
      </c>
      <c r="E637" s="3" t="s">
        <v>12</v>
      </c>
      <c r="F637" s="27" t="s">
        <v>17</v>
      </c>
    </row>
    <row r="638" spans="1:6" ht="72" customHeight="1">
      <c r="A638" s="1" t="s">
        <v>27</v>
      </c>
      <c r="B638" s="1">
        <v>637</v>
      </c>
      <c r="C638" s="1" t="s">
        <v>667</v>
      </c>
      <c r="D638">
        <f>IMAGE("https://raw.githubusercontent.com/stautonico/pokemon-home-pokedex/main/sprites/volcarona.png", 2)</f>
        <v>0</v>
      </c>
      <c r="E638" s="3" t="s">
        <v>12</v>
      </c>
      <c r="F638" s="27" t="s">
        <v>17</v>
      </c>
    </row>
    <row r="639" spans="1:6" ht="72" customHeight="1">
      <c r="A639" s="1" t="s">
        <v>27</v>
      </c>
      <c r="B639" s="1">
        <v>638</v>
      </c>
      <c r="C639" s="1" t="s">
        <v>668</v>
      </c>
      <c r="D639">
        <f>IMAGE("https://raw.githubusercontent.com/stautonico/pokemon-home-pokedex/main/sprites/cobalion.png", 2)</f>
        <v>0</v>
      </c>
      <c r="E639" s="27" t="s">
        <v>17</v>
      </c>
      <c r="F639" s="5"/>
    </row>
    <row r="640" spans="1:6" ht="72" customHeight="1">
      <c r="A640" s="1" t="s">
        <v>27</v>
      </c>
      <c r="B640" s="1">
        <v>639</v>
      </c>
      <c r="C640" s="1" t="s">
        <v>669</v>
      </c>
      <c r="D640">
        <f>IMAGE("https://raw.githubusercontent.com/stautonico/pokemon-home-pokedex/main/sprites/terrakion.png", 2)</f>
        <v>0</v>
      </c>
      <c r="E640" s="27" t="s">
        <v>17</v>
      </c>
      <c r="F640" s="5"/>
    </row>
    <row r="641" spans="1:6" ht="72" customHeight="1">
      <c r="A641" s="1" t="s">
        <v>27</v>
      </c>
      <c r="B641" s="1">
        <v>640</v>
      </c>
      <c r="C641" s="1" t="s">
        <v>670</v>
      </c>
      <c r="D641">
        <f>IMAGE("https://raw.githubusercontent.com/stautonico/pokemon-home-pokedex/main/sprites/virizion.png", 2)</f>
        <v>0</v>
      </c>
      <c r="E641" s="27" t="s">
        <v>17</v>
      </c>
      <c r="F641" s="5"/>
    </row>
    <row r="642" spans="1:6" ht="72" customHeight="1">
      <c r="A642" s="1" t="s">
        <v>27</v>
      </c>
      <c r="B642" s="1">
        <v>641</v>
      </c>
      <c r="C642" s="1" t="s">
        <v>671</v>
      </c>
      <c r="D642">
        <f>IMAGE("https://raw.githubusercontent.com/stautonico/pokemon-home-pokedex/main/sprites/tornadus.png", 2)</f>
        <v>0</v>
      </c>
      <c r="E642" s="34" t="s">
        <v>19</v>
      </c>
      <c r="F642" s="33" t="s">
        <v>22</v>
      </c>
    </row>
    <row r="643" spans="1:6" ht="72" customHeight="1">
      <c r="A643" s="1" t="s">
        <v>27</v>
      </c>
      <c r="B643" s="1">
        <v>642</v>
      </c>
      <c r="C643" s="1" t="s">
        <v>672</v>
      </c>
      <c r="D643">
        <f>IMAGE("https://raw.githubusercontent.com/stautonico/pokemon-home-pokedex/main/sprites/thundurus.png", 2)</f>
        <v>0</v>
      </c>
      <c r="E643" s="35" t="s">
        <v>20</v>
      </c>
      <c r="F643" s="36" t="s">
        <v>23</v>
      </c>
    </row>
    <row r="644" spans="1:6" ht="72" customHeight="1">
      <c r="A644" s="1" t="s">
        <v>27</v>
      </c>
      <c r="B644" s="1">
        <v>643</v>
      </c>
      <c r="C644" s="1" t="s">
        <v>673</v>
      </c>
      <c r="D644">
        <f>IMAGE("https://raw.githubusercontent.com/stautonico/pokemon-home-pokedex/main/sprites/reshiram.png", 2)</f>
        <v>0</v>
      </c>
      <c r="E644" s="34" t="s">
        <v>19</v>
      </c>
      <c r="F644" s="33" t="s">
        <v>22</v>
      </c>
    </row>
    <row r="645" spans="1:6" ht="72" customHeight="1">
      <c r="A645" s="1" t="s">
        <v>27</v>
      </c>
      <c r="B645" s="1">
        <v>644</v>
      </c>
      <c r="C645" s="1" t="s">
        <v>674</v>
      </c>
      <c r="D645">
        <f>IMAGE("https://raw.githubusercontent.com/stautonico/pokemon-home-pokedex/main/sprites/zekrom.png", 2)</f>
        <v>0</v>
      </c>
      <c r="E645" s="35" t="s">
        <v>20</v>
      </c>
      <c r="F645" s="36" t="s">
        <v>23</v>
      </c>
    </row>
    <row r="646" spans="1:6" ht="72" customHeight="1">
      <c r="A646" s="1" t="s">
        <v>27</v>
      </c>
      <c r="B646" s="1">
        <v>645</v>
      </c>
      <c r="C646" s="1" t="s">
        <v>675</v>
      </c>
      <c r="D646">
        <f>IMAGE("https://raw.githubusercontent.com/stautonico/pokemon-home-pokedex/main/sprites/landorus.png", 2)</f>
        <v>0</v>
      </c>
      <c r="E646" s="27" t="s">
        <v>17</v>
      </c>
      <c r="F646" s="5"/>
    </row>
    <row r="647" spans="1:6" ht="72" customHeight="1">
      <c r="A647" s="1" t="s">
        <v>27</v>
      </c>
      <c r="B647" s="1">
        <v>646</v>
      </c>
      <c r="C647" s="1" t="s">
        <v>676</v>
      </c>
      <c r="D647">
        <f>IMAGE("https://raw.githubusercontent.com/stautonico/pokemon-home-pokedex/main/sprites/kyurem.png", 2)</f>
        <v>0</v>
      </c>
      <c r="E647" s="27" t="s">
        <v>17</v>
      </c>
      <c r="F647" s="5"/>
    </row>
    <row r="648" spans="1:6" ht="72" customHeight="1">
      <c r="A648" s="1" t="s">
        <v>27</v>
      </c>
      <c r="B648" s="1">
        <v>647</v>
      </c>
      <c r="C648" s="1" t="s">
        <v>677</v>
      </c>
      <c r="D648">
        <f>IMAGE("https://raw.githubusercontent.com/stautonico/pokemon-home-pokedex/main/sprites/keldeo.png", 2)</f>
        <v>0</v>
      </c>
      <c r="E648" s="32" t="s">
        <v>24</v>
      </c>
      <c r="F648" s="5"/>
    </row>
    <row r="649" spans="1:6" ht="72" customHeight="1">
      <c r="A649" s="1" t="s">
        <v>27</v>
      </c>
      <c r="B649" s="1">
        <v>648</v>
      </c>
      <c r="C649" s="1" t="s">
        <v>678</v>
      </c>
      <c r="D649">
        <f>IMAGE("https://raw.githubusercontent.com/stautonico/pokemon-home-pokedex/main/sprites/meloetta.png", 2)</f>
        <v>0</v>
      </c>
      <c r="E649" s="32" t="s">
        <v>24</v>
      </c>
      <c r="F649" s="5"/>
    </row>
    <row r="650" spans="1:6" ht="72" customHeight="1">
      <c r="A650" s="1" t="s">
        <v>27</v>
      </c>
      <c r="B650" s="1">
        <v>649</v>
      </c>
      <c r="C650" s="1" t="s">
        <v>679</v>
      </c>
      <c r="D650">
        <f>IMAGE("https://raw.githubusercontent.com/stautonico/pokemon-home-pokedex/main/sprites/genesect.png", 2)</f>
        <v>0</v>
      </c>
      <c r="E650" s="32" t="s">
        <v>24</v>
      </c>
      <c r="F650" s="5"/>
    </row>
    <row r="651" spans="1:6" ht="72" customHeight="1">
      <c r="A651" s="1" t="s">
        <v>27</v>
      </c>
      <c r="B651" s="1">
        <v>650</v>
      </c>
      <c r="C651" s="1" t="s">
        <v>680</v>
      </c>
      <c r="D651">
        <f>IMAGE("https://raw.githubusercontent.com/stautonico/pokemon-home-pokedex/main/sprites/chespin.png", 2)</f>
        <v>0</v>
      </c>
      <c r="E651" s="27" t="s">
        <v>17</v>
      </c>
      <c r="F651" s="24" t="s">
        <v>16</v>
      </c>
    </row>
    <row r="652" spans="1:6" ht="72" customHeight="1">
      <c r="A652" s="1" t="s">
        <v>27</v>
      </c>
      <c r="B652" s="1">
        <v>651</v>
      </c>
      <c r="C652" s="1" t="s">
        <v>681</v>
      </c>
      <c r="D652">
        <f>IMAGE("https://raw.githubusercontent.com/stautonico/pokemon-home-pokedex/main/sprites/quilladin.png", 2)</f>
        <v>0</v>
      </c>
      <c r="E652" s="27" t="s">
        <v>17</v>
      </c>
      <c r="F652" s="24" t="s">
        <v>16</v>
      </c>
    </row>
    <row r="653" spans="1:6" ht="72" customHeight="1">
      <c r="A653" s="1" t="s">
        <v>27</v>
      </c>
      <c r="B653" s="1">
        <v>652</v>
      </c>
      <c r="C653" s="1" t="s">
        <v>682</v>
      </c>
      <c r="D653">
        <f>IMAGE("https://raw.githubusercontent.com/stautonico/pokemon-home-pokedex/main/sprites/chesnaught.png", 2)</f>
        <v>0</v>
      </c>
      <c r="E653" s="27" t="s">
        <v>17</v>
      </c>
      <c r="F653" s="24" t="s">
        <v>16</v>
      </c>
    </row>
    <row r="654" spans="1:6" ht="72" customHeight="1">
      <c r="A654" s="1" t="s">
        <v>27</v>
      </c>
      <c r="B654" s="1">
        <v>653</v>
      </c>
      <c r="C654" s="1" t="s">
        <v>683</v>
      </c>
      <c r="D654">
        <f>IMAGE("https://raw.githubusercontent.com/stautonico/pokemon-home-pokedex/main/sprites/fennekin.png", 2)</f>
        <v>0</v>
      </c>
      <c r="E654" s="27" t="s">
        <v>17</v>
      </c>
      <c r="F654" s="24" t="s">
        <v>16</v>
      </c>
    </row>
    <row r="655" spans="1:6" ht="72" customHeight="1">
      <c r="A655" s="1" t="s">
        <v>27</v>
      </c>
      <c r="B655" s="1">
        <v>654</v>
      </c>
      <c r="C655" s="1" t="s">
        <v>684</v>
      </c>
      <c r="D655">
        <f>IMAGE("https://raw.githubusercontent.com/stautonico/pokemon-home-pokedex/main/sprites/braixen.png", 2)</f>
        <v>0</v>
      </c>
      <c r="E655" s="27" t="s">
        <v>17</v>
      </c>
      <c r="F655" s="24" t="s">
        <v>16</v>
      </c>
    </row>
    <row r="656" spans="1:6" ht="72" customHeight="1">
      <c r="A656" s="1" t="s">
        <v>27</v>
      </c>
      <c r="B656" s="1">
        <v>655</v>
      </c>
      <c r="C656" s="1" t="s">
        <v>685</v>
      </c>
      <c r="D656">
        <f>IMAGE("https://raw.githubusercontent.com/stautonico/pokemon-home-pokedex/main/sprites/delphox.png", 2)</f>
        <v>0</v>
      </c>
      <c r="E656" s="27" t="s">
        <v>17</v>
      </c>
      <c r="F656" s="24" t="s">
        <v>16</v>
      </c>
    </row>
    <row r="657" spans="1:6" ht="72" customHeight="1">
      <c r="A657" s="1" t="s">
        <v>27</v>
      </c>
      <c r="B657" s="1">
        <v>656</v>
      </c>
      <c r="C657" s="1" t="s">
        <v>686</v>
      </c>
      <c r="D657">
        <f>IMAGE("https://raw.githubusercontent.com/stautonico/pokemon-home-pokedex/main/sprites/froakie.png", 2)</f>
        <v>0</v>
      </c>
      <c r="E657" s="27" t="s">
        <v>17</v>
      </c>
      <c r="F657" s="24" t="s">
        <v>16</v>
      </c>
    </row>
    <row r="658" spans="1:6" ht="72" customHeight="1">
      <c r="A658" s="1" t="s">
        <v>27</v>
      </c>
      <c r="B658" s="1">
        <v>657</v>
      </c>
      <c r="C658" s="1" t="s">
        <v>687</v>
      </c>
      <c r="D658">
        <f>IMAGE("https://raw.githubusercontent.com/stautonico/pokemon-home-pokedex/main/sprites/frogadier.png", 2)</f>
        <v>0</v>
      </c>
      <c r="E658" s="27" t="s">
        <v>17</v>
      </c>
      <c r="F658" s="24" t="s">
        <v>16</v>
      </c>
    </row>
    <row r="659" spans="1:6" ht="72" customHeight="1">
      <c r="A659" s="1" t="s">
        <v>27</v>
      </c>
      <c r="B659" s="1">
        <v>658</v>
      </c>
      <c r="C659" s="1" t="s">
        <v>688</v>
      </c>
      <c r="D659">
        <f>IMAGE("https://raw.githubusercontent.com/stautonico/pokemon-home-pokedex/main/sprites/greninja.png", 2)</f>
        <v>0</v>
      </c>
      <c r="E659" s="27" t="s">
        <v>17</v>
      </c>
      <c r="F659" s="24" t="s">
        <v>16</v>
      </c>
    </row>
    <row r="660" spans="1:6" ht="72" customHeight="1">
      <c r="A660" s="1" t="s">
        <v>27</v>
      </c>
      <c r="B660" s="1">
        <v>659</v>
      </c>
      <c r="C660" s="1" t="s">
        <v>689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27</v>
      </c>
      <c r="B661" s="1">
        <v>660</v>
      </c>
      <c r="C661" s="1" t="s">
        <v>690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27</v>
      </c>
      <c r="B662" s="1">
        <v>661</v>
      </c>
      <c r="C662" s="1" t="s">
        <v>691</v>
      </c>
      <c r="D662">
        <f>IMAGE("https://raw.githubusercontent.com/stautonico/pokemon-home-pokedex/main/sprites/fletchling.png", 2)</f>
        <v>0</v>
      </c>
      <c r="E662" s="3" t="s">
        <v>12</v>
      </c>
      <c r="F662" s="24" t="s">
        <v>16</v>
      </c>
    </row>
    <row r="663" spans="1:6" ht="72" customHeight="1">
      <c r="A663" s="1" t="s">
        <v>27</v>
      </c>
      <c r="B663" s="1">
        <v>662</v>
      </c>
      <c r="C663" s="1" t="s">
        <v>692</v>
      </c>
      <c r="D663">
        <f>IMAGE("https://raw.githubusercontent.com/stautonico/pokemon-home-pokedex/main/sprites/fletchinder.png", 2)</f>
        <v>0</v>
      </c>
      <c r="E663" s="3" t="s">
        <v>12</v>
      </c>
      <c r="F663" s="24" t="s">
        <v>16</v>
      </c>
    </row>
    <row r="664" spans="1:6" ht="72" customHeight="1">
      <c r="A664" s="1" t="s">
        <v>27</v>
      </c>
      <c r="B664" s="1">
        <v>663</v>
      </c>
      <c r="C664" s="1" t="s">
        <v>693</v>
      </c>
      <c r="D664">
        <f>IMAGE("https://raw.githubusercontent.com/stautonico/pokemon-home-pokedex/main/sprites/talonflame.png", 2)</f>
        <v>0</v>
      </c>
      <c r="E664" s="3" t="s">
        <v>12</v>
      </c>
      <c r="F664" s="24" t="s">
        <v>16</v>
      </c>
    </row>
    <row r="665" spans="1:6" ht="72" customHeight="1">
      <c r="A665" s="1" t="s">
        <v>27</v>
      </c>
      <c r="B665" s="1">
        <v>664</v>
      </c>
      <c r="C665" s="1" t="s">
        <v>694</v>
      </c>
      <c r="D665">
        <f>IMAGE("https://raw.githubusercontent.com/stautonico/pokemon-home-pokedex/main/sprites/scatterbug.png", 2)</f>
        <v>0</v>
      </c>
      <c r="E665" s="24" t="s">
        <v>16</v>
      </c>
      <c r="F665" s="5"/>
    </row>
    <row r="666" spans="1:6" ht="72" customHeight="1">
      <c r="A666" s="1" t="s">
        <v>27</v>
      </c>
      <c r="B666" s="1">
        <v>665</v>
      </c>
      <c r="C666" s="1" t="s">
        <v>695</v>
      </c>
      <c r="D666">
        <f>IMAGE("https://raw.githubusercontent.com/stautonico/pokemon-home-pokedex/main/sprites/spewpa.png", 2)</f>
        <v>0</v>
      </c>
      <c r="E666" s="24" t="s">
        <v>16</v>
      </c>
      <c r="F666" s="5"/>
    </row>
    <row r="667" spans="1:6" ht="72" customHeight="1">
      <c r="A667" s="1" t="s">
        <v>27</v>
      </c>
      <c r="B667" s="1">
        <v>666</v>
      </c>
      <c r="C667" s="1" t="s">
        <v>696</v>
      </c>
      <c r="D667">
        <f>IMAGE("https://raw.githubusercontent.com/stautonico/pokemon-home-pokedex/main/sprites/vivillon.png", 2)</f>
        <v>0</v>
      </c>
      <c r="E667" s="24" t="s">
        <v>16</v>
      </c>
      <c r="F667" s="5"/>
    </row>
    <row r="668" spans="1:6" ht="72" customHeight="1">
      <c r="A668" s="1" t="s">
        <v>27</v>
      </c>
      <c r="B668" s="1">
        <v>667</v>
      </c>
      <c r="C668" s="1" t="s">
        <v>697</v>
      </c>
      <c r="D668">
        <f>IMAGE("https://raw.githubusercontent.com/stautonico/pokemon-home-pokedex/main/sprites/litleo.png", 2)</f>
        <v>0</v>
      </c>
      <c r="E668" s="24" t="s">
        <v>16</v>
      </c>
      <c r="F668" s="5"/>
    </row>
    <row r="669" spans="1:6" ht="72" customHeight="1">
      <c r="A669" s="1" t="s">
        <v>27</v>
      </c>
      <c r="B669" s="1">
        <v>668</v>
      </c>
      <c r="C669" s="1" t="s">
        <v>698</v>
      </c>
      <c r="D669">
        <f>IMAGE("https://raw.githubusercontent.com/stautonico/pokemon-home-pokedex/main/sprites/pyroar.png", 2)</f>
        <v>0</v>
      </c>
      <c r="E669" s="24" t="s">
        <v>16</v>
      </c>
      <c r="F669" s="5"/>
    </row>
    <row r="670" spans="1:6" ht="72" customHeight="1">
      <c r="A670" s="1" t="s">
        <v>27</v>
      </c>
      <c r="B670" s="1">
        <v>669</v>
      </c>
      <c r="C670" s="1" t="s">
        <v>699</v>
      </c>
      <c r="D670">
        <f>IMAGE("https://raw.githubusercontent.com/stautonico/pokemon-home-pokedex/main/sprites/flabebe.png", 2)</f>
        <v>0</v>
      </c>
      <c r="E670" s="24" t="s">
        <v>16</v>
      </c>
      <c r="F670" s="5"/>
    </row>
    <row r="671" spans="1:6" ht="72" customHeight="1">
      <c r="A671" s="1" t="s">
        <v>27</v>
      </c>
      <c r="B671" s="1">
        <v>670</v>
      </c>
      <c r="C671" s="1" t="s">
        <v>700</v>
      </c>
      <c r="D671">
        <f>IMAGE("https://raw.githubusercontent.com/stautonico/pokemon-home-pokedex/main/sprites/floette.png", 2)</f>
        <v>0</v>
      </c>
      <c r="E671" s="24" t="s">
        <v>16</v>
      </c>
      <c r="F671" s="5"/>
    </row>
    <row r="672" spans="1:6" ht="72" customHeight="1">
      <c r="A672" s="1" t="s">
        <v>27</v>
      </c>
      <c r="B672" s="1">
        <v>671</v>
      </c>
      <c r="C672" s="1" t="s">
        <v>701</v>
      </c>
      <c r="D672">
        <f>IMAGE("https://raw.githubusercontent.com/stautonico/pokemon-home-pokedex/main/sprites/florges.png", 2)</f>
        <v>0</v>
      </c>
      <c r="E672" s="24" t="s">
        <v>16</v>
      </c>
      <c r="F672" s="5"/>
    </row>
    <row r="673" spans="1:6" ht="72" customHeight="1">
      <c r="A673" s="1" t="s">
        <v>27</v>
      </c>
      <c r="B673" s="1">
        <v>672</v>
      </c>
      <c r="C673" s="1" t="s">
        <v>702</v>
      </c>
      <c r="D673">
        <f>IMAGE("https://raw.githubusercontent.com/stautonico/pokemon-home-pokedex/main/sprites/skiddo.png", 2)</f>
        <v>0</v>
      </c>
      <c r="E673" s="24" t="s">
        <v>16</v>
      </c>
      <c r="F673" s="5"/>
    </row>
    <row r="674" spans="1:6" ht="72" customHeight="1">
      <c r="A674" s="1" t="s">
        <v>27</v>
      </c>
      <c r="B674" s="1">
        <v>673</v>
      </c>
      <c r="C674" s="1" t="s">
        <v>703</v>
      </c>
      <c r="D674">
        <f>IMAGE("https://raw.githubusercontent.com/stautonico/pokemon-home-pokedex/main/sprites/gogoat.png", 2)</f>
        <v>0</v>
      </c>
      <c r="E674" s="24" t="s">
        <v>16</v>
      </c>
      <c r="F674" s="5"/>
    </row>
    <row r="675" spans="1:6" ht="72" customHeight="1">
      <c r="A675" s="1" t="s">
        <v>27</v>
      </c>
      <c r="B675" s="1">
        <v>674</v>
      </c>
      <c r="C675" s="1" t="s">
        <v>704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27</v>
      </c>
      <c r="B676" s="1">
        <v>675</v>
      </c>
      <c r="C676" s="1" t="s">
        <v>705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27</v>
      </c>
      <c r="B677" s="1">
        <v>676</v>
      </c>
      <c r="C677" s="1" t="s">
        <v>706</v>
      </c>
      <c r="D677">
        <f>IMAGE("https://raw.githubusercontent.com/stautonico/pokemon-home-pokedex/main/sprites/furfrou.png", 2)</f>
        <v>0</v>
      </c>
      <c r="E677" s="24" t="s">
        <v>16</v>
      </c>
      <c r="F677" s="5"/>
    </row>
    <row r="678" spans="1:6" ht="72" customHeight="1">
      <c r="A678" s="1" t="s">
        <v>27</v>
      </c>
      <c r="B678" s="1">
        <v>677</v>
      </c>
      <c r="C678" s="1" t="s">
        <v>707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27</v>
      </c>
      <c r="B679" s="1">
        <v>678</v>
      </c>
      <c r="C679" s="1" t="s">
        <v>708</v>
      </c>
      <c r="D679">
        <f>IMAGE("https://raw.githubusercontent.com/stautonico/pokemon-home-pokedex/main/sprites/meowstic.png", 2)</f>
        <v>0</v>
      </c>
      <c r="E679" s="4" t="s">
        <v>13</v>
      </c>
      <c r="F679" s="5"/>
    </row>
    <row r="680" spans="1:6" ht="72" customHeight="1">
      <c r="A680" s="1" t="s">
        <v>27</v>
      </c>
      <c r="B680" s="1">
        <v>679</v>
      </c>
      <c r="C680" s="1" t="s">
        <v>709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27</v>
      </c>
      <c r="B681" s="1">
        <v>680</v>
      </c>
      <c r="C681" s="1" t="s">
        <v>710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27</v>
      </c>
      <c r="B682" s="1">
        <v>681</v>
      </c>
      <c r="C682" s="1" t="s">
        <v>711</v>
      </c>
      <c r="D682">
        <f>IMAGE("https://raw.githubusercontent.com/stautonico/pokemon-home-pokedex/main/sprites/aegislash.png", 2)</f>
        <v>0</v>
      </c>
      <c r="E682" s="4" t="s">
        <v>13</v>
      </c>
      <c r="F682" s="5"/>
    </row>
    <row r="683" spans="1:6" ht="72" customHeight="1">
      <c r="A683" s="1" t="s">
        <v>27</v>
      </c>
      <c r="B683" s="1">
        <v>682</v>
      </c>
      <c r="C683" s="1" t="s">
        <v>712</v>
      </c>
      <c r="D683">
        <f>IMAGE("https://raw.githubusercontent.com/stautonico/pokemon-home-pokedex/main/sprites/spritzee.png", 2)</f>
        <v>0</v>
      </c>
      <c r="E683" s="28" t="s">
        <v>15</v>
      </c>
      <c r="F683" s="5" t="s">
        <v>713</v>
      </c>
    </row>
    <row r="684" spans="1:6" ht="72" customHeight="1">
      <c r="A684" s="1" t="s">
        <v>27</v>
      </c>
      <c r="B684" s="1">
        <v>683</v>
      </c>
      <c r="C684" s="1" t="s">
        <v>714</v>
      </c>
      <c r="D684">
        <f>IMAGE("https://raw.githubusercontent.com/stautonico/pokemon-home-pokedex/main/sprites/aromatisse.png", 2)</f>
        <v>0</v>
      </c>
      <c r="E684" s="28" t="s">
        <v>15</v>
      </c>
      <c r="F684" s="5" t="s">
        <v>713</v>
      </c>
    </row>
    <row r="685" spans="1:6" ht="72" customHeight="1">
      <c r="A685" s="1" t="s">
        <v>27</v>
      </c>
      <c r="B685" s="1">
        <v>684</v>
      </c>
      <c r="C685" s="1" t="s">
        <v>715</v>
      </c>
      <c r="D685">
        <f>IMAGE("https://raw.githubusercontent.com/stautonico/pokemon-home-pokedex/main/sprites/swirlix.png", 2)</f>
        <v>0</v>
      </c>
      <c r="E685" s="30" t="s">
        <v>14</v>
      </c>
      <c r="F685" s="5" t="s">
        <v>373</v>
      </c>
    </row>
    <row r="686" spans="1:6" ht="72" customHeight="1">
      <c r="A686" s="1" t="s">
        <v>27</v>
      </c>
      <c r="B686" s="1">
        <v>685</v>
      </c>
      <c r="C686" s="1" t="s">
        <v>716</v>
      </c>
      <c r="D686">
        <f>IMAGE("https://raw.githubusercontent.com/stautonico/pokemon-home-pokedex/main/sprites/slurpuff.png", 2)</f>
        <v>0</v>
      </c>
      <c r="E686" s="30" t="s">
        <v>14</v>
      </c>
      <c r="F686" s="5" t="s">
        <v>373</v>
      </c>
    </row>
    <row r="687" spans="1:6" ht="72" customHeight="1">
      <c r="A687" s="1" t="s">
        <v>27</v>
      </c>
      <c r="B687" s="1">
        <v>686</v>
      </c>
      <c r="C687" s="1" t="s">
        <v>717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27</v>
      </c>
      <c r="B688" s="1">
        <v>687</v>
      </c>
      <c r="C688" s="1" t="s">
        <v>718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27</v>
      </c>
      <c r="B689" s="1">
        <v>688</v>
      </c>
      <c r="C689" s="1" t="s">
        <v>719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27</v>
      </c>
      <c r="B690" s="1">
        <v>689</v>
      </c>
      <c r="C690" s="1" t="s">
        <v>720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27</v>
      </c>
      <c r="B691" s="1">
        <v>690</v>
      </c>
      <c r="C691" s="1" t="s">
        <v>721</v>
      </c>
      <c r="D691">
        <f>IMAGE("https://raw.githubusercontent.com/stautonico/pokemon-home-pokedex/main/sprites/skrelp.png", 2)</f>
        <v>0</v>
      </c>
      <c r="E691" s="28" t="s">
        <v>15</v>
      </c>
      <c r="F691" s="35" t="s">
        <v>20</v>
      </c>
    </row>
    <row r="692" spans="1:6" ht="72" customHeight="1">
      <c r="A692" s="1" t="s">
        <v>27</v>
      </c>
      <c r="B692" s="1">
        <v>691</v>
      </c>
      <c r="C692" s="1" t="s">
        <v>722</v>
      </c>
      <c r="D692">
        <f>IMAGE("https://raw.githubusercontent.com/stautonico/pokemon-home-pokedex/main/sprites/dragalge.png", 2)</f>
        <v>0</v>
      </c>
      <c r="E692" s="28" t="s">
        <v>15</v>
      </c>
      <c r="F692" s="35" t="s">
        <v>20</v>
      </c>
    </row>
    <row r="693" spans="1:6" ht="72" customHeight="1">
      <c r="A693" s="1" t="s">
        <v>27</v>
      </c>
      <c r="B693" s="1">
        <v>692</v>
      </c>
      <c r="C693" s="1" t="s">
        <v>723</v>
      </c>
      <c r="D693">
        <f>IMAGE("https://raw.githubusercontent.com/stautonico/pokemon-home-pokedex/main/sprites/clauncher.png", 2)</f>
        <v>0</v>
      </c>
      <c r="E693" s="30" t="s">
        <v>14</v>
      </c>
      <c r="F693" s="34" t="s">
        <v>19</v>
      </c>
    </row>
    <row r="694" spans="1:6" ht="72" customHeight="1">
      <c r="A694" s="1" t="s">
        <v>27</v>
      </c>
      <c r="B694" s="1">
        <v>693</v>
      </c>
      <c r="C694" s="1" t="s">
        <v>724</v>
      </c>
      <c r="D694">
        <f>IMAGE("https://raw.githubusercontent.com/stautonico/pokemon-home-pokedex/main/sprites/clawitzer.png", 2)</f>
        <v>0</v>
      </c>
      <c r="E694" s="30" t="s">
        <v>14</v>
      </c>
      <c r="F694" s="34" t="s">
        <v>19</v>
      </c>
    </row>
    <row r="695" spans="1:6" ht="72" customHeight="1">
      <c r="A695" s="1" t="s">
        <v>27</v>
      </c>
      <c r="B695" s="1">
        <v>694</v>
      </c>
      <c r="C695" s="1" t="s">
        <v>725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27</v>
      </c>
      <c r="B696" s="1">
        <v>695</v>
      </c>
      <c r="C696" s="1" t="s">
        <v>726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27</v>
      </c>
      <c r="B697" s="1">
        <v>696</v>
      </c>
      <c r="C697" s="1" t="s">
        <v>727</v>
      </c>
      <c r="D697">
        <f>IMAGE("https://raw.githubusercontent.com/stautonico/pokemon-home-pokedex/main/sprites/tyrunt.png", 2)</f>
        <v>0</v>
      </c>
      <c r="E697" s="24" t="s">
        <v>16</v>
      </c>
      <c r="F697" s="27" t="s">
        <v>17</v>
      </c>
    </row>
    <row r="698" spans="1:6" ht="72" customHeight="1">
      <c r="A698" s="1" t="s">
        <v>27</v>
      </c>
      <c r="B698" s="1">
        <v>697</v>
      </c>
      <c r="C698" s="1" t="s">
        <v>728</v>
      </c>
      <c r="D698">
        <f>IMAGE("https://raw.githubusercontent.com/stautonico/pokemon-home-pokedex/main/sprites/tyrantrum.png", 2)</f>
        <v>0</v>
      </c>
      <c r="E698" s="24" t="s">
        <v>16</v>
      </c>
      <c r="F698" s="27" t="s">
        <v>17</v>
      </c>
    </row>
    <row r="699" spans="1:6" ht="72" customHeight="1">
      <c r="A699" s="1" t="s">
        <v>27</v>
      </c>
      <c r="B699" s="1">
        <v>698</v>
      </c>
      <c r="C699" s="1" t="s">
        <v>729</v>
      </c>
      <c r="D699">
        <f>IMAGE("https://raw.githubusercontent.com/stautonico/pokemon-home-pokedex/main/sprites/amaura.png", 2)</f>
        <v>0</v>
      </c>
      <c r="E699" s="24" t="s">
        <v>16</v>
      </c>
      <c r="F699" s="27" t="s">
        <v>17</v>
      </c>
    </row>
    <row r="700" spans="1:6" ht="72" customHeight="1">
      <c r="A700" s="1" t="s">
        <v>27</v>
      </c>
      <c r="B700" s="1">
        <v>699</v>
      </c>
      <c r="C700" s="1" t="s">
        <v>730</v>
      </c>
      <c r="D700">
        <f>IMAGE("https://raw.githubusercontent.com/stautonico/pokemon-home-pokedex/main/sprites/aurorus.png", 2)</f>
        <v>0</v>
      </c>
      <c r="E700" s="24" t="s">
        <v>16</v>
      </c>
      <c r="F700" s="27" t="s">
        <v>17</v>
      </c>
    </row>
    <row r="701" spans="1:6" ht="72" customHeight="1">
      <c r="A701" s="1" t="s">
        <v>27</v>
      </c>
      <c r="B701" s="1">
        <v>700</v>
      </c>
      <c r="C701" s="1" t="s">
        <v>731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27</v>
      </c>
      <c r="B702" s="1">
        <v>701</v>
      </c>
      <c r="C702" s="1" t="s">
        <v>732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27</v>
      </c>
      <c r="B703" s="1">
        <v>702</v>
      </c>
      <c r="C703" s="1" t="s">
        <v>733</v>
      </c>
      <c r="D703">
        <f>IMAGE("https://raw.githubusercontent.com/stautonico/pokemon-home-pokedex/main/sprites/dedenne.png", 2)</f>
        <v>0</v>
      </c>
      <c r="E703" s="3" t="s">
        <v>12</v>
      </c>
      <c r="F703" s="24" t="s">
        <v>16</v>
      </c>
    </row>
    <row r="704" spans="1:6" ht="72" customHeight="1">
      <c r="A704" s="1" t="s">
        <v>27</v>
      </c>
      <c r="B704" s="1">
        <v>703</v>
      </c>
      <c r="C704" s="1" t="s">
        <v>734</v>
      </c>
      <c r="D704">
        <f>IMAGE("https://raw.githubusercontent.com/stautonico/pokemon-home-pokedex/main/sprites/carbink.png", 2)</f>
        <v>0</v>
      </c>
      <c r="E704" s="24" t="s">
        <v>16</v>
      </c>
      <c r="F704" s="5"/>
    </row>
    <row r="705" spans="1:6" ht="72" customHeight="1">
      <c r="A705" s="1" t="s">
        <v>27</v>
      </c>
      <c r="B705" s="1">
        <v>704</v>
      </c>
      <c r="C705" s="1" t="s">
        <v>735</v>
      </c>
      <c r="D705">
        <f>IMAGE("https://raw.githubusercontent.com/stautonico/pokemon-home-pokedex/main/sprites/goomy.png", 2)</f>
        <v>0</v>
      </c>
      <c r="E705" s="28" t="s">
        <v>15</v>
      </c>
      <c r="F705" s="24" t="s">
        <v>16</v>
      </c>
    </row>
    <row r="706" spans="1:6" ht="72" customHeight="1">
      <c r="A706" s="1" t="s">
        <v>27</v>
      </c>
      <c r="B706" s="1">
        <v>705</v>
      </c>
      <c r="C706" s="1" t="s">
        <v>736</v>
      </c>
      <c r="D706">
        <f>IMAGE("https://raw.githubusercontent.com/stautonico/pokemon-home-pokedex/main/sprites/sliggoo.png", 2)</f>
        <v>0</v>
      </c>
      <c r="E706" s="28" t="s">
        <v>15</v>
      </c>
      <c r="F706" s="24" t="s">
        <v>16</v>
      </c>
    </row>
    <row r="707" spans="1:6" ht="72" customHeight="1">
      <c r="A707" s="1" t="s">
        <v>27</v>
      </c>
      <c r="B707" s="1">
        <v>706</v>
      </c>
      <c r="C707" s="1" t="s">
        <v>737</v>
      </c>
      <c r="D707">
        <f>IMAGE("https://raw.githubusercontent.com/stautonico/pokemon-home-pokedex/main/sprites/goodra.png", 2)</f>
        <v>0</v>
      </c>
      <c r="E707" s="28" t="s">
        <v>15</v>
      </c>
      <c r="F707" s="24" t="s">
        <v>16</v>
      </c>
    </row>
    <row r="708" spans="1:6" ht="72" customHeight="1">
      <c r="A708" s="1" t="s">
        <v>27</v>
      </c>
      <c r="B708" s="1">
        <v>707</v>
      </c>
      <c r="C708" s="1" t="s">
        <v>738</v>
      </c>
      <c r="D708">
        <f>IMAGE("https://raw.githubusercontent.com/stautonico/pokemon-home-pokedex/main/sprites/klefki.png", 2)</f>
        <v>0</v>
      </c>
      <c r="E708" s="3" t="s">
        <v>12</v>
      </c>
      <c r="F708" s="24" t="s">
        <v>16</v>
      </c>
    </row>
    <row r="709" spans="1:6" ht="72" customHeight="1">
      <c r="A709" s="1" t="s">
        <v>27</v>
      </c>
      <c r="B709" s="1">
        <v>708</v>
      </c>
      <c r="C709" s="1" t="s">
        <v>739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27</v>
      </c>
      <c r="B710" s="1">
        <v>709</v>
      </c>
      <c r="C710" s="1" t="s">
        <v>740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27</v>
      </c>
      <c r="B711" s="1">
        <v>710</v>
      </c>
      <c r="C711" s="1" t="s">
        <v>741</v>
      </c>
      <c r="D711">
        <f>IMAGE("https://raw.githubusercontent.com/stautonico/pokemon-home-pokedex/main/sprites/pumpkaboo.png", 2)</f>
        <v>0</v>
      </c>
      <c r="E711" s="4" t="s">
        <v>13</v>
      </c>
      <c r="F711" s="5"/>
    </row>
    <row r="712" spans="1:6" ht="72" customHeight="1">
      <c r="A712" s="1" t="s">
        <v>27</v>
      </c>
      <c r="B712" s="1">
        <v>711</v>
      </c>
      <c r="C712" s="1" t="s">
        <v>742</v>
      </c>
      <c r="D712">
        <f>IMAGE("https://raw.githubusercontent.com/stautonico/pokemon-home-pokedex/main/sprites/gourgeist.png", 2)</f>
        <v>0</v>
      </c>
      <c r="E712" s="4" t="s">
        <v>13</v>
      </c>
      <c r="F712" s="5"/>
    </row>
    <row r="713" spans="1:6" ht="72" customHeight="1">
      <c r="A713" s="1" t="s">
        <v>27</v>
      </c>
      <c r="B713" s="1">
        <v>712</v>
      </c>
      <c r="C713" s="1" t="s">
        <v>743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27</v>
      </c>
      <c r="B714" s="1">
        <v>713</v>
      </c>
      <c r="C714" s="1" t="s">
        <v>744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27</v>
      </c>
      <c r="B715" s="1">
        <v>714</v>
      </c>
      <c r="C715" s="1" t="s">
        <v>745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27</v>
      </c>
      <c r="B716" s="1">
        <v>715</v>
      </c>
      <c r="C716" s="1" t="s">
        <v>746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27</v>
      </c>
      <c r="B717" s="1">
        <v>716</v>
      </c>
      <c r="C717" s="1" t="s">
        <v>747</v>
      </c>
      <c r="D717">
        <f>IMAGE("https://raw.githubusercontent.com/stautonico/pokemon-home-pokedex/main/sprites/xerneas.png", 2)</f>
        <v>0</v>
      </c>
      <c r="E717" s="34" t="s">
        <v>19</v>
      </c>
      <c r="F717" s="5" t="s">
        <v>373</v>
      </c>
    </row>
    <row r="718" spans="1:6" ht="72" customHeight="1">
      <c r="A718" s="1" t="s">
        <v>27</v>
      </c>
      <c r="B718" s="1">
        <v>717</v>
      </c>
      <c r="C718" s="1" t="s">
        <v>748</v>
      </c>
      <c r="D718">
        <f>IMAGE("https://raw.githubusercontent.com/stautonico/pokemon-home-pokedex/main/sprites/yveltal.png", 2)</f>
        <v>0</v>
      </c>
      <c r="E718" s="35" t="s">
        <v>20</v>
      </c>
      <c r="F718" s="5" t="s">
        <v>713</v>
      </c>
    </row>
    <row r="719" spans="1:6" ht="72" customHeight="1">
      <c r="A719" s="1" t="s">
        <v>27</v>
      </c>
      <c r="B719" s="1">
        <v>718</v>
      </c>
      <c r="C719" s="1" t="s">
        <v>749</v>
      </c>
      <c r="D719">
        <f>IMAGE("https://raw.githubusercontent.com/stautonico/pokemon-home-pokedex/main/sprites/zygarde.png", 2)</f>
        <v>0</v>
      </c>
      <c r="E719" s="24" t="s">
        <v>16</v>
      </c>
      <c r="F719" s="5"/>
    </row>
    <row r="720" spans="1:6" ht="72" customHeight="1">
      <c r="A720" s="1" t="s">
        <v>27</v>
      </c>
      <c r="B720" s="1">
        <v>719</v>
      </c>
      <c r="C720" s="1" t="s">
        <v>750</v>
      </c>
      <c r="D720">
        <f>IMAGE("https://raw.githubusercontent.com/stautonico/pokemon-home-pokedex/main/sprites/diancie.png", 2)</f>
        <v>0</v>
      </c>
      <c r="E720" s="32" t="s">
        <v>24</v>
      </c>
      <c r="F720" s="5"/>
    </row>
    <row r="721" spans="1:6" ht="72" customHeight="1">
      <c r="A721" s="1" t="s">
        <v>27</v>
      </c>
      <c r="B721" s="1">
        <v>720</v>
      </c>
      <c r="C721" s="1" t="s">
        <v>751</v>
      </c>
      <c r="D721">
        <f>IMAGE("https://raw.githubusercontent.com/stautonico/pokemon-home-pokedex/main/sprites/hoopa.png", 2)</f>
        <v>0</v>
      </c>
      <c r="E721" s="32" t="s">
        <v>24</v>
      </c>
      <c r="F721" s="5"/>
    </row>
    <row r="722" spans="1:6" ht="72" customHeight="1">
      <c r="A722" s="1" t="s">
        <v>27</v>
      </c>
      <c r="B722" s="1">
        <v>721</v>
      </c>
      <c r="C722" s="1" t="s">
        <v>752</v>
      </c>
      <c r="D722">
        <f>IMAGE("https://raw.githubusercontent.com/stautonico/pokemon-home-pokedex/main/sprites/volcanion.png", 2)</f>
        <v>0</v>
      </c>
      <c r="E722" s="32" t="s">
        <v>24</v>
      </c>
      <c r="F722" s="5"/>
    </row>
    <row r="723" spans="1:6" ht="72" customHeight="1">
      <c r="A723" s="1" t="s">
        <v>27</v>
      </c>
      <c r="B723" s="1">
        <v>722</v>
      </c>
      <c r="C723" s="1" t="s">
        <v>753</v>
      </c>
      <c r="D723">
        <f>IMAGE("https://raw.githubusercontent.com/stautonico/pokemon-home-pokedex/main/sprites/rowlet.png", 2)</f>
        <v>0</v>
      </c>
      <c r="E723" s="27" t="s">
        <v>17</v>
      </c>
      <c r="F723" s="5" t="s">
        <v>524</v>
      </c>
    </row>
    <row r="724" spans="1:6" ht="72" customHeight="1">
      <c r="A724" s="1" t="s">
        <v>27</v>
      </c>
      <c r="B724" s="1">
        <v>723</v>
      </c>
      <c r="C724" s="1" t="s">
        <v>754</v>
      </c>
      <c r="D724">
        <f>IMAGE("https://raw.githubusercontent.com/stautonico/pokemon-home-pokedex/main/sprites/dartrix.png", 2)</f>
        <v>0</v>
      </c>
      <c r="E724" s="27" t="s">
        <v>17</v>
      </c>
      <c r="F724" s="5" t="s">
        <v>524</v>
      </c>
    </row>
    <row r="725" spans="1:6" ht="72" customHeight="1">
      <c r="A725" s="1" t="s">
        <v>27</v>
      </c>
      <c r="B725" s="1">
        <v>724</v>
      </c>
      <c r="C725" s="1" t="s">
        <v>755</v>
      </c>
      <c r="D725">
        <f>IMAGE("https://raw.githubusercontent.com/stautonico/pokemon-home-pokedex/main/sprites/decidueye.png", 2)</f>
        <v>0</v>
      </c>
      <c r="E725" s="27" t="s">
        <v>17</v>
      </c>
      <c r="F725" s="5" t="s">
        <v>524</v>
      </c>
    </row>
    <row r="726" spans="1:6" ht="72" customHeight="1">
      <c r="A726" s="1" t="s">
        <v>27</v>
      </c>
      <c r="B726" s="1">
        <v>725</v>
      </c>
      <c r="C726" s="1" t="s">
        <v>756</v>
      </c>
      <c r="D726">
        <f>IMAGE("https://raw.githubusercontent.com/stautonico/pokemon-home-pokedex/main/sprites/litten.png", 2)</f>
        <v>0</v>
      </c>
      <c r="E726" s="27" t="s">
        <v>17</v>
      </c>
      <c r="F726" s="5" t="s">
        <v>524</v>
      </c>
    </row>
    <row r="727" spans="1:6" ht="72" customHeight="1">
      <c r="A727" s="1" t="s">
        <v>27</v>
      </c>
      <c r="B727" s="1">
        <v>726</v>
      </c>
      <c r="C727" s="1" t="s">
        <v>757</v>
      </c>
      <c r="D727">
        <f>IMAGE("https://raw.githubusercontent.com/stautonico/pokemon-home-pokedex/main/sprites/torracat.png", 2)</f>
        <v>0</v>
      </c>
      <c r="E727" s="27" t="s">
        <v>17</v>
      </c>
      <c r="F727" s="5" t="s">
        <v>524</v>
      </c>
    </row>
    <row r="728" spans="1:6" ht="72" customHeight="1">
      <c r="A728" s="1" t="s">
        <v>27</v>
      </c>
      <c r="B728" s="1">
        <v>727</v>
      </c>
      <c r="C728" s="1" t="s">
        <v>758</v>
      </c>
      <c r="D728">
        <f>IMAGE("https://raw.githubusercontent.com/stautonico/pokemon-home-pokedex/main/sprites/incineroar.png", 2)</f>
        <v>0</v>
      </c>
      <c r="E728" s="27" t="s">
        <v>17</v>
      </c>
      <c r="F728" s="5" t="s">
        <v>524</v>
      </c>
    </row>
    <row r="729" spans="1:6" ht="72" customHeight="1">
      <c r="A729" s="1" t="s">
        <v>27</v>
      </c>
      <c r="B729" s="1">
        <v>728</v>
      </c>
      <c r="C729" s="1" t="s">
        <v>759</v>
      </c>
      <c r="D729">
        <f>IMAGE("https://raw.githubusercontent.com/stautonico/pokemon-home-pokedex/main/sprites/popplio.png", 2)</f>
        <v>0</v>
      </c>
      <c r="E729" s="27" t="s">
        <v>17</v>
      </c>
      <c r="F729" s="5" t="s">
        <v>524</v>
      </c>
    </row>
    <row r="730" spans="1:6" ht="72" customHeight="1">
      <c r="A730" s="1" t="s">
        <v>27</v>
      </c>
      <c r="B730" s="1">
        <v>729</v>
      </c>
      <c r="C730" s="1" t="s">
        <v>760</v>
      </c>
      <c r="D730">
        <f>IMAGE("https://raw.githubusercontent.com/stautonico/pokemon-home-pokedex/main/sprites/brionne.png", 2)</f>
        <v>0</v>
      </c>
      <c r="E730" s="27" t="s">
        <v>17</v>
      </c>
      <c r="F730" s="5" t="s">
        <v>524</v>
      </c>
    </row>
    <row r="731" spans="1:6" ht="72" customHeight="1">
      <c r="A731" s="1" t="s">
        <v>27</v>
      </c>
      <c r="B731" s="1">
        <v>730</v>
      </c>
      <c r="C731" s="1" t="s">
        <v>761</v>
      </c>
      <c r="D731">
        <f>IMAGE("https://raw.githubusercontent.com/stautonico/pokemon-home-pokedex/main/sprites/primarina.png", 2)</f>
        <v>0</v>
      </c>
      <c r="E731" s="27" t="s">
        <v>17</v>
      </c>
      <c r="F731" s="5" t="s">
        <v>524</v>
      </c>
    </row>
    <row r="732" spans="1:6" ht="72" customHeight="1">
      <c r="A732" s="1" t="s">
        <v>27</v>
      </c>
      <c r="B732" s="1">
        <v>731</v>
      </c>
      <c r="C732" s="1" t="s">
        <v>762</v>
      </c>
      <c r="D732">
        <f>IMAGE("https://raw.githubusercontent.com/stautonico/pokemon-home-pokedex/main/sprites/pikipek.png", 2)</f>
        <v>0</v>
      </c>
      <c r="E732" s="27" t="s">
        <v>17</v>
      </c>
      <c r="F732" s="5"/>
    </row>
    <row r="733" spans="1:6" ht="72" customHeight="1">
      <c r="A733" s="1" t="s">
        <v>27</v>
      </c>
      <c r="B733" s="1">
        <v>732</v>
      </c>
      <c r="C733" s="1" t="s">
        <v>763</v>
      </c>
      <c r="D733">
        <f>IMAGE("https://raw.githubusercontent.com/stautonico/pokemon-home-pokedex/main/sprites/trumbeak.png", 2)</f>
        <v>0</v>
      </c>
      <c r="E733" s="27" t="s">
        <v>17</v>
      </c>
      <c r="F733" s="5"/>
    </row>
    <row r="734" spans="1:6" ht="72" customHeight="1">
      <c r="A734" s="1" t="s">
        <v>27</v>
      </c>
      <c r="B734" s="1">
        <v>733</v>
      </c>
      <c r="C734" s="1" t="s">
        <v>764</v>
      </c>
      <c r="D734">
        <f>IMAGE("https://raw.githubusercontent.com/stautonico/pokemon-home-pokedex/main/sprites/toucannon.png", 2)</f>
        <v>0</v>
      </c>
      <c r="E734" s="27" t="s">
        <v>17</v>
      </c>
      <c r="F734" s="5"/>
    </row>
    <row r="735" spans="1:6" ht="72" customHeight="1">
      <c r="A735" s="1" t="s">
        <v>27</v>
      </c>
      <c r="B735" s="1">
        <v>734</v>
      </c>
      <c r="C735" s="1" t="s">
        <v>765</v>
      </c>
      <c r="D735">
        <f>IMAGE("https://raw.githubusercontent.com/stautonico/pokemon-home-pokedex/main/sprites/yungoos.png", 2)</f>
        <v>0</v>
      </c>
      <c r="E735" s="27" t="s">
        <v>17</v>
      </c>
      <c r="F735" s="5"/>
    </row>
    <row r="736" spans="1:6" ht="72" customHeight="1">
      <c r="A736" s="1" t="s">
        <v>27</v>
      </c>
      <c r="B736" s="1">
        <v>735</v>
      </c>
      <c r="C736" s="1" t="s">
        <v>766</v>
      </c>
      <c r="D736">
        <f>IMAGE("https://raw.githubusercontent.com/stautonico/pokemon-home-pokedex/main/sprites/gumshoos.png", 2)</f>
        <v>0</v>
      </c>
      <c r="E736" s="27" t="s">
        <v>17</v>
      </c>
      <c r="F736" s="5"/>
    </row>
    <row r="737" spans="1:6" ht="72" customHeight="1">
      <c r="A737" s="1" t="s">
        <v>27</v>
      </c>
      <c r="B737" s="1">
        <v>736</v>
      </c>
      <c r="C737" s="1" t="s">
        <v>767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27</v>
      </c>
      <c r="B738" s="1">
        <v>737</v>
      </c>
      <c r="C738" s="1" t="s">
        <v>768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27</v>
      </c>
      <c r="B739" s="1">
        <v>738</v>
      </c>
      <c r="C739" s="1" t="s">
        <v>769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27</v>
      </c>
      <c r="B740" s="1">
        <v>739</v>
      </c>
      <c r="C740" s="1" t="s">
        <v>770</v>
      </c>
      <c r="D740">
        <f>IMAGE("https://raw.githubusercontent.com/stautonico/pokemon-home-pokedex/main/sprites/crabrawler.png", 2)</f>
        <v>0</v>
      </c>
      <c r="E740" s="27" t="s">
        <v>17</v>
      </c>
      <c r="F740" s="5"/>
    </row>
    <row r="741" spans="1:6" ht="72" customHeight="1">
      <c r="A741" s="1" t="s">
        <v>27</v>
      </c>
      <c r="B741" s="1">
        <v>740</v>
      </c>
      <c r="C741" s="1" t="s">
        <v>771</v>
      </c>
      <c r="D741">
        <f>IMAGE("https://raw.githubusercontent.com/stautonico/pokemon-home-pokedex/main/sprites/crabominable.png", 2)</f>
        <v>0</v>
      </c>
      <c r="E741" s="27" t="s">
        <v>17</v>
      </c>
      <c r="F741" s="5"/>
    </row>
    <row r="742" spans="1:6" ht="72" customHeight="1">
      <c r="A742" s="1" t="s">
        <v>27</v>
      </c>
      <c r="B742" s="1">
        <v>10123</v>
      </c>
      <c r="C742" s="1" t="s">
        <v>772</v>
      </c>
      <c r="D742">
        <f>IMAGE("https://raw.githubusercontent.com/stautonico/pokemon-home-pokedex/main/sprites/oricorio.png", 2)</f>
        <v>0</v>
      </c>
      <c r="E742" s="27" t="s">
        <v>17</v>
      </c>
      <c r="F742" s="5"/>
    </row>
    <row r="743" spans="1:6" ht="72" customHeight="1">
      <c r="A743" s="1" t="s">
        <v>27</v>
      </c>
      <c r="B743" s="1">
        <v>742</v>
      </c>
      <c r="C743" s="1" t="s">
        <v>773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27</v>
      </c>
      <c r="B744" s="1">
        <v>743</v>
      </c>
      <c r="C744" s="1" t="s">
        <v>774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27</v>
      </c>
      <c r="B745" s="1">
        <v>744</v>
      </c>
      <c r="C745" s="1" t="s">
        <v>775</v>
      </c>
      <c r="D745">
        <f>IMAGE("https://raw.githubusercontent.com/stautonico/pokemon-home-pokedex/main/sprites/rockruff.png", 2)</f>
        <v>0</v>
      </c>
      <c r="E745" s="3" t="s">
        <v>12</v>
      </c>
      <c r="F745" s="27" t="s">
        <v>17</v>
      </c>
    </row>
    <row r="746" spans="1:6" ht="72" customHeight="1">
      <c r="A746" s="1" t="s">
        <v>27</v>
      </c>
      <c r="B746" s="1">
        <v>745</v>
      </c>
      <c r="C746" s="1" t="s">
        <v>776</v>
      </c>
      <c r="D746">
        <f>IMAGE("https://raw.githubusercontent.com/stautonico/pokemon-home-pokedex/main/sprites/lycanroc.png", 2)</f>
        <v>0</v>
      </c>
      <c r="E746" s="3" t="s">
        <v>12</v>
      </c>
      <c r="F746" s="27" t="s">
        <v>17</v>
      </c>
    </row>
    <row r="747" spans="1:6" ht="72" customHeight="1">
      <c r="A747" s="1" t="s">
        <v>27</v>
      </c>
      <c r="B747" s="1">
        <v>746</v>
      </c>
      <c r="C747" s="1" t="s">
        <v>777</v>
      </c>
      <c r="D747">
        <f>IMAGE("https://raw.githubusercontent.com/stautonico/pokemon-home-pokedex/main/sprites/wishiwashi.png", 2)</f>
        <v>0</v>
      </c>
      <c r="E747" s="4" t="s">
        <v>13</v>
      </c>
      <c r="F747" s="5"/>
    </row>
    <row r="748" spans="1:6" ht="72" customHeight="1">
      <c r="A748" s="1" t="s">
        <v>27</v>
      </c>
      <c r="B748" s="1">
        <v>747</v>
      </c>
      <c r="C748" s="1" t="s">
        <v>778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27</v>
      </c>
      <c r="B749" s="1">
        <v>748</v>
      </c>
      <c r="C749" s="1" t="s">
        <v>779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27</v>
      </c>
      <c r="B750" s="1">
        <v>749</v>
      </c>
      <c r="C750" s="1" t="s">
        <v>780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27</v>
      </c>
      <c r="B751" s="1">
        <v>750</v>
      </c>
      <c r="C751" s="1" t="s">
        <v>781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27</v>
      </c>
      <c r="B752" s="1">
        <v>751</v>
      </c>
      <c r="C752" s="1" t="s">
        <v>782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27</v>
      </c>
      <c r="B753" s="1">
        <v>752</v>
      </c>
      <c r="C753" s="1" t="s">
        <v>783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27</v>
      </c>
      <c r="B754" s="1">
        <v>753</v>
      </c>
      <c r="C754" s="1" t="s">
        <v>784</v>
      </c>
      <c r="D754">
        <f>IMAGE("https://raw.githubusercontent.com/stautonico/pokemon-home-pokedex/main/sprites/fomantis.png", 2)</f>
        <v>0</v>
      </c>
      <c r="E754" s="3" t="s">
        <v>12</v>
      </c>
      <c r="F754" s="27" t="s">
        <v>17</v>
      </c>
    </row>
    <row r="755" spans="1:6" ht="72" customHeight="1">
      <c r="A755" s="1" t="s">
        <v>27</v>
      </c>
      <c r="B755" s="1">
        <v>754</v>
      </c>
      <c r="C755" s="1" t="s">
        <v>785</v>
      </c>
      <c r="D755">
        <f>IMAGE("https://raw.githubusercontent.com/stautonico/pokemon-home-pokedex/main/sprites/lurantis.png", 2)</f>
        <v>0</v>
      </c>
      <c r="E755" s="3" t="s">
        <v>12</v>
      </c>
      <c r="F755" s="27" t="s">
        <v>17</v>
      </c>
    </row>
    <row r="756" spans="1:6" ht="72" customHeight="1">
      <c r="A756" s="1" t="s">
        <v>27</v>
      </c>
      <c r="B756" s="1">
        <v>755</v>
      </c>
      <c r="C756" s="1" t="s">
        <v>786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27</v>
      </c>
      <c r="B757" s="1">
        <v>756</v>
      </c>
      <c r="C757" s="1" t="s">
        <v>787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27</v>
      </c>
      <c r="B758" s="1">
        <v>757</v>
      </c>
      <c r="C758" s="1" t="s">
        <v>788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27</v>
      </c>
      <c r="B759" s="1">
        <v>758</v>
      </c>
      <c r="C759" s="1" t="s">
        <v>789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27</v>
      </c>
      <c r="B760" s="1">
        <v>759</v>
      </c>
      <c r="C760" s="1" t="s">
        <v>790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27</v>
      </c>
      <c r="B761" s="1">
        <v>760</v>
      </c>
      <c r="C761" s="1" t="s">
        <v>791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27</v>
      </c>
      <c r="B762" s="1">
        <v>761</v>
      </c>
      <c r="C762" s="1" t="s">
        <v>792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27</v>
      </c>
      <c r="B763" s="1">
        <v>762</v>
      </c>
      <c r="C763" s="1" t="s">
        <v>793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27</v>
      </c>
      <c r="B764" s="1">
        <v>763</v>
      </c>
      <c r="C764" s="1" t="s">
        <v>794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27</v>
      </c>
      <c r="B765" s="1">
        <v>764</v>
      </c>
      <c r="C765" s="1" t="s">
        <v>795</v>
      </c>
      <c r="D765">
        <f>IMAGE("https://raw.githubusercontent.com/stautonico/pokemon-home-pokedex/main/sprites/comfey.png", 2)</f>
        <v>0</v>
      </c>
      <c r="E765" s="3" t="s">
        <v>12</v>
      </c>
      <c r="F765" s="27" t="s">
        <v>17</v>
      </c>
    </row>
    <row r="766" spans="1:6" ht="72" customHeight="1">
      <c r="A766" s="1" t="s">
        <v>27</v>
      </c>
      <c r="B766" s="1">
        <v>765</v>
      </c>
      <c r="C766" s="1" t="s">
        <v>796</v>
      </c>
      <c r="D766">
        <f>IMAGE("https://raw.githubusercontent.com/stautonico/pokemon-home-pokedex/main/sprites/oranguru.png", 2)</f>
        <v>0</v>
      </c>
      <c r="E766" s="28" t="s">
        <v>15</v>
      </c>
      <c r="F766" s="35" t="s">
        <v>20</v>
      </c>
    </row>
    <row r="767" spans="1:6" ht="72" customHeight="1">
      <c r="A767" s="1" t="s">
        <v>27</v>
      </c>
      <c r="B767" s="1">
        <v>766</v>
      </c>
      <c r="C767" s="1" t="s">
        <v>797</v>
      </c>
      <c r="D767">
        <f>IMAGE("https://raw.githubusercontent.com/stautonico/pokemon-home-pokedex/main/sprites/passimian.png", 2)</f>
        <v>0</v>
      </c>
      <c r="E767" s="30" t="s">
        <v>14</v>
      </c>
      <c r="F767" s="34" t="s">
        <v>19</v>
      </c>
    </row>
    <row r="768" spans="1:6" ht="72" customHeight="1">
      <c r="A768" s="1" t="s">
        <v>27</v>
      </c>
      <c r="B768" s="1">
        <v>767</v>
      </c>
      <c r="C768" s="1" t="s">
        <v>798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27</v>
      </c>
      <c r="B769" s="1">
        <v>768</v>
      </c>
      <c r="C769" s="1" t="s">
        <v>799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27</v>
      </c>
      <c r="B770" s="1">
        <v>769</v>
      </c>
      <c r="C770" s="1" t="s">
        <v>800</v>
      </c>
      <c r="D770">
        <f>IMAGE("https://raw.githubusercontent.com/stautonico/pokemon-home-pokedex/main/sprites/sandygast.png", 2)</f>
        <v>0</v>
      </c>
      <c r="E770" s="3" t="s">
        <v>12</v>
      </c>
      <c r="F770" s="27" t="s">
        <v>17</v>
      </c>
    </row>
    <row r="771" spans="1:6" ht="72" customHeight="1">
      <c r="A771" s="1" t="s">
        <v>27</v>
      </c>
      <c r="B771" s="1">
        <v>770</v>
      </c>
      <c r="C771" s="1" t="s">
        <v>801</v>
      </c>
      <c r="D771">
        <f>IMAGE("https://raw.githubusercontent.com/stautonico/pokemon-home-pokedex/main/sprites/palossand.png", 2)</f>
        <v>0</v>
      </c>
      <c r="E771" s="3" t="s">
        <v>12</v>
      </c>
      <c r="F771" s="27" t="s">
        <v>17</v>
      </c>
    </row>
    <row r="772" spans="1:6" ht="72" customHeight="1">
      <c r="A772" s="1" t="s">
        <v>27</v>
      </c>
      <c r="B772" s="1">
        <v>771</v>
      </c>
      <c r="C772" s="1" t="s">
        <v>802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27</v>
      </c>
      <c r="B773" s="1">
        <v>772</v>
      </c>
      <c r="C773" s="1" t="s">
        <v>803</v>
      </c>
      <c r="D773">
        <f>IMAGE("https://raw.githubusercontent.com/stautonico/pokemon-home-pokedex/main/sprites/typenull.png", 2)</f>
        <v>0</v>
      </c>
      <c r="E773" s="4" t="s">
        <v>13</v>
      </c>
      <c r="F773" s="5"/>
    </row>
    <row r="774" spans="1:6" ht="72" customHeight="1">
      <c r="A774" s="1" t="s">
        <v>27</v>
      </c>
      <c r="B774" s="1">
        <v>773</v>
      </c>
      <c r="C774" s="1" t="s">
        <v>804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27</v>
      </c>
      <c r="B775" s="1">
        <v>10136</v>
      </c>
      <c r="C775" s="1" t="s">
        <v>805</v>
      </c>
      <c r="D775">
        <f>IMAGE("https://raw.githubusercontent.com/stautonico/pokemon-home-pokedex/main/sprites/minior-red.png", 2)</f>
        <v>0</v>
      </c>
      <c r="E775" s="5" t="s">
        <v>806</v>
      </c>
      <c r="F775" s="5" t="s">
        <v>806</v>
      </c>
    </row>
    <row r="776" spans="1:6" ht="72" customHeight="1">
      <c r="A776" s="1" t="s">
        <v>27</v>
      </c>
      <c r="B776" s="1">
        <v>775</v>
      </c>
      <c r="C776" s="1" t="s">
        <v>807</v>
      </c>
      <c r="D776">
        <f>IMAGE("https://raw.githubusercontent.com/stautonico/pokemon-home-pokedex/main/sprites/komala.png", 2)</f>
        <v>0</v>
      </c>
      <c r="E776" s="27" t="s">
        <v>17</v>
      </c>
      <c r="F776" s="5"/>
    </row>
    <row r="777" spans="1:6" ht="72" customHeight="1">
      <c r="A777" s="1" t="s">
        <v>27</v>
      </c>
      <c r="B777" s="1">
        <v>776</v>
      </c>
      <c r="C777" s="1" t="s">
        <v>808</v>
      </c>
      <c r="D777">
        <f>IMAGE("https://raw.githubusercontent.com/stautonico/pokemon-home-pokedex/main/sprites/turtonator.png", 2)</f>
        <v>0</v>
      </c>
      <c r="E777" s="30" t="s">
        <v>14</v>
      </c>
      <c r="F777" s="34" t="s">
        <v>19</v>
      </c>
    </row>
    <row r="778" spans="1:6" ht="72" customHeight="1">
      <c r="A778" s="1" t="s">
        <v>27</v>
      </c>
      <c r="B778" s="1">
        <v>777</v>
      </c>
      <c r="C778" s="1" t="s">
        <v>809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27</v>
      </c>
      <c r="B779" s="1">
        <v>778</v>
      </c>
      <c r="C779" s="1" t="s">
        <v>810</v>
      </c>
      <c r="D779">
        <f>IMAGE("https://raw.githubusercontent.com/stautonico/pokemon-home-pokedex/main/sprites/mimikyu.png", 2)</f>
        <v>0</v>
      </c>
      <c r="E779" s="4" t="s">
        <v>13</v>
      </c>
      <c r="F779" s="5"/>
    </row>
    <row r="780" spans="1:6" ht="72" customHeight="1">
      <c r="A780" s="1" t="s">
        <v>27</v>
      </c>
      <c r="B780" s="1">
        <v>779</v>
      </c>
      <c r="C780" s="1" t="s">
        <v>811</v>
      </c>
      <c r="D780">
        <f>IMAGE("https://raw.githubusercontent.com/stautonico/pokemon-home-pokedex/main/sprites/bruxish.png", 2)</f>
        <v>0</v>
      </c>
      <c r="E780" s="27" t="s">
        <v>17</v>
      </c>
      <c r="F780" s="5"/>
    </row>
    <row r="781" spans="1:6" ht="72" customHeight="1">
      <c r="A781" s="1" t="s">
        <v>27</v>
      </c>
      <c r="B781" s="1">
        <v>780</v>
      </c>
      <c r="C781" s="1" t="s">
        <v>812</v>
      </c>
      <c r="D781">
        <f>IMAGE("https://raw.githubusercontent.com/stautonico/pokemon-home-pokedex/main/sprites/drampa.png", 2)</f>
        <v>0</v>
      </c>
      <c r="E781" s="28" t="s">
        <v>15</v>
      </c>
      <c r="F781" s="35" t="s">
        <v>20</v>
      </c>
    </row>
    <row r="782" spans="1:6" ht="72" customHeight="1">
      <c r="A782" s="1" t="s">
        <v>27</v>
      </c>
      <c r="B782" s="1">
        <v>781</v>
      </c>
      <c r="C782" s="1" t="s">
        <v>813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27</v>
      </c>
      <c r="B783" s="1">
        <v>782</v>
      </c>
      <c r="C783" s="1" t="s">
        <v>814</v>
      </c>
      <c r="D783">
        <f>IMAGE("https://raw.githubusercontent.com/stautonico/pokemon-home-pokedex/main/sprites/jangmo-o.png", 2)</f>
        <v>0</v>
      </c>
      <c r="E783" s="30" t="s">
        <v>14</v>
      </c>
      <c r="F783" s="27" t="s">
        <v>17</v>
      </c>
    </row>
    <row r="784" spans="1:6" ht="72" customHeight="1">
      <c r="A784" s="1" t="s">
        <v>27</v>
      </c>
      <c r="B784" s="1">
        <v>783</v>
      </c>
      <c r="C784" s="1" t="s">
        <v>815</v>
      </c>
      <c r="D784">
        <f>IMAGE("https://raw.githubusercontent.com/stautonico/pokemon-home-pokedex/main/sprites/hakamo-o.png", 2)</f>
        <v>0</v>
      </c>
      <c r="E784" s="30" t="s">
        <v>14</v>
      </c>
      <c r="F784" s="27" t="s">
        <v>17</v>
      </c>
    </row>
    <row r="785" spans="1:6" ht="72" customHeight="1">
      <c r="A785" s="1" t="s">
        <v>27</v>
      </c>
      <c r="B785" s="1">
        <v>784</v>
      </c>
      <c r="C785" s="1" t="s">
        <v>816</v>
      </c>
      <c r="D785">
        <f>IMAGE("https://raw.githubusercontent.com/stautonico/pokemon-home-pokedex/main/sprites/kommo-o.png", 2)</f>
        <v>0</v>
      </c>
      <c r="E785" s="30" t="s">
        <v>14</v>
      </c>
      <c r="F785" s="27" t="s">
        <v>17</v>
      </c>
    </row>
    <row r="786" spans="1:6" ht="72" customHeight="1">
      <c r="A786" s="1" t="s">
        <v>27</v>
      </c>
      <c r="B786" s="1">
        <v>785</v>
      </c>
      <c r="C786" s="1" t="s">
        <v>817</v>
      </c>
      <c r="D786">
        <f>IMAGE("https://raw.githubusercontent.com/stautonico/pokemon-home-pokedex/main/sprites/tapu-koko.png", 2)</f>
        <v>0</v>
      </c>
      <c r="E786" s="27" t="s">
        <v>17</v>
      </c>
      <c r="F786" s="5"/>
    </row>
    <row r="787" spans="1:6" ht="72" customHeight="1">
      <c r="A787" s="1" t="s">
        <v>27</v>
      </c>
      <c r="B787" s="1">
        <v>786</v>
      </c>
      <c r="C787" s="1" t="s">
        <v>818</v>
      </c>
      <c r="D787">
        <f>IMAGE("https://raw.githubusercontent.com/stautonico/pokemon-home-pokedex/main/sprites/tapu-lele.png", 2)</f>
        <v>0</v>
      </c>
      <c r="E787" s="27" t="s">
        <v>17</v>
      </c>
      <c r="F787" s="5"/>
    </row>
    <row r="788" spans="1:6" ht="72" customHeight="1">
      <c r="A788" s="1" t="s">
        <v>27</v>
      </c>
      <c r="B788" s="1">
        <v>787</v>
      </c>
      <c r="C788" s="1" t="s">
        <v>819</v>
      </c>
      <c r="D788">
        <f>IMAGE("https://raw.githubusercontent.com/stautonico/pokemon-home-pokedex/main/sprites/tapu-bulu.png", 2)</f>
        <v>0</v>
      </c>
      <c r="E788" s="27" t="s">
        <v>17</v>
      </c>
      <c r="F788" s="5"/>
    </row>
    <row r="789" spans="1:6" ht="72" customHeight="1">
      <c r="A789" s="1" t="s">
        <v>27</v>
      </c>
      <c r="B789" s="1">
        <v>788</v>
      </c>
      <c r="C789" s="1" t="s">
        <v>820</v>
      </c>
      <c r="D789">
        <f>IMAGE("https://raw.githubusercontent.com/stautonico/pokemon-home-pokedex/main/sprites/tapu-fini.png", 2)</f>
        <v>0</v>
      </c>
      <c r="E789" s="27" t="s">
        <v>17</v>
      </c>
      <c r="F789" s="5"/>
    </row>
    <row r="790" spans="1:6" ht="72" customHeight="1">
      <c r="A790" s="1" t="s">
        <v>27</v>
      </c>
      <c r="B790" s="1">
        <v>789</v>
      </c>
      <c r="C790" s="1" t="s">
        <v>821</v>
      </c>
      <c r="D790">
        <f>IMAGE("https://raw.githubusercontent.com/stautonico/pokemon-home-pokedex/main/sprites/cosmog.png", 2)</f>
        <v>0</v>
      </c>
      <c r="E790" s="27" t="s">
        <v>17</v>
      </c>
      <c r="F790" s="5"/>
    </row>
    <row r="791" spans="1:6" ht="72" customHeight="1">
      <c r="A791" s="1" t="s">
        <v>27</v>
      </c>
      <c r="B791" s="1">
        <v>790</v>
      </c>
      <c r="C791" s="1" t="s">
        <v>822</v>
      </c>
      <c r="D791">
        <f>IMAGE("https://raw.githubusercontent.com/stautonico/pokemon-home-pokedex/main/sprites/cosmoem.png", 2)</f>
        <v>0</v>
      </c>
      <c r="E791" s="27" t="s">
        <v>17</v>
      </c>
      <c r="F791" s="5"/>
    </row>
    <row r="792" spans="1:6" ht="72" customHeight="1">
      <c r="A792" s="1" t="s">
        <v>27</v>
      </c>
      <c r="B792" s="1">
        <v>791</v>
      </c>
      <c r="C792" s="1" t="s">
        <v>823</v>
      </c>
      <c r="D792">
        <f>IMAGE("https://raw.githubusercontent.com/stautonico/pokemon-home-pokedex/main/sprites/solgaleo.png", 2)</f>
        <v>0</v>
      </c>
      <c r="E792" s="34" t="s">
        <v>19</v>
      </c>
      <c r="F792" s="5"/>
    </row>
    <row r="793" spans="1:6" ht="72" customHeight="1">
      <c r="A793" s="1" t="s">
        <v>27</v>
      </c>
      <c r="B793" s="1">
        <v>792</v>
      </c>
      <c r="C793" s="1" t="s">
        <v>824</v>
      </c>
      <c r="D793">
        <f>IMAGE("https://raw.githubusercontent.com/stautonico/pokemon-home-pokedex/main/sprites/lunala.png", 2)</f>
        <v>0</v>
      </c>
      <c r="E793" s="35" t="s">
        <v>20</v>
      </c>
      <c r="F793" s="5"/>
    </row>
    <row r="794" spans="1:6" ht="72" customHeight="1">
      <c r="A794" s="1" t="s">
        <v>27</v>
      </c>
      <c r="B794" s="1">
        <v>793</v>
      </c>
      <c r="C794" s="1" t="s">
        <v>825</v>
      </c>
      <c r="D794">
        <f>IMAGE("https://raw.githubusercontent.com/stautonico/pokemon-home-pokedex/main/sprites/nihilego.png", 2)</f>
        <v>0</v>
      </c>
      <c r="E794" s="27" t="s">
        <v>17</v>
      </c>
      <c r="F794" s="5"/>
    </row>
    <row r="795" spans="1:6" ht="72" customHeight="1">
      <c r="A795" s="1" t="s">
        <v>27</v>
      </c>
      <c r="B795" s="1">
        <v>794</v>
      </c>
      <c r="C795" s="1" t="s">
        <v>826</v>
      </c>
      <c r="D795">
        <f>IMAGE("https://raw.githubusercontent.com/stautonico/pokemon-home-pokedex/main/sprites/buzzwole.png", 2)</f>
        <v>0</v>
      </c>
      <c r="E795" s="34" t="s">
        <v>19</v>
      </c>
      <c r="F795" s="5"/>
    </row>
    <row r="796" spans="1:6" ht="72" customHeight="1">
      <c r="A796" s="1" t="s">
        <v>27</v>
      </c>
      <c r="B796" s="1">
        <v>795</v>
      </c>
      <c r="C796" s="1" t="s">
        <v>827</v>
      </c>
      <c r="D796">
        <f>IMAGE("https://raw.githubusercontent.com/stautonico/pokemon-home-pokedex/main/sprites/pheromosa.png", 2)</f>
        <v>0</v>
      </c>
      <c r="E796" s="35" t="s">
        <v>20</v>
      </c>
      <c r="F796" s="5"/>
    </row>
    <row r="797" spans="1:6" ht="72" customHeight="1">
      <c r="A797" s="1" t="s">
        <v>27</v>
      </c>
      <c r="B797" s="1">
        <v>796</v>
      </c>
      <c r="C797" s="1" t="s">
        <v>828</v>
      </c>
      <c r="D797">
        <f>IMAGE("https://raw.githubusercontent.com/stautonico/pokemon-home-pokedex/main/sprites/xurkitree.png", 2)</f>
        <v>0</v>
      </c>
      <c r="E797" s="27" t="s">
        <v>17</v>
      </c>
      <c r="F797" s="5"/>
    </row>
    <row r="798" spans="1:6" ht="72" customHeight="1">
      <c r="A798" s="1" t="s">
        <v>27</v>
      </c>
      <c r="B798" s="1">
        <v>797</v>
      </c>
      <c r="C798" s="1" t="s">
        <v>829</v>
      </c>
      <c r="D798">
        <f>IMAGE("https://raw.githubusercontent.com/stautonico/pokemon-home-pokedex/main/sprites/celesteela.png", 2)</f>
        <v>0</v>
      </c>
      <c r="E798" s="35" t="s">
        <v>20</v>
      </c>
      <c r="F798" s="5"/>
    </row>
    <row r="799" spans="1:6" ht="72" customHeight="1">
      <c r="A799" s="1" t="s">
        <v>27</v>
      </c>
      <c r="B799" s="1">
        <v>798</v>
      </c>
      <c r="C799" s="1" t="s">
        <v>830</v>
      </c>
      <c r="D799">
        <f>IMAGE("https://raw.githubusercontent.com/stautonico/pokemon-home-pokedex/main/sprites/kartana.png", 2)</f>
        <v>0</v>
      </c>
      <c r="E799" s="34" t="s">
        <v>19</v>
      </c>
      <c r="F799" s="5"/>
    </row>
    <row r="800" spans="1:6" ht="72" customHeight="1">
      <c r="A800" s="1" t="s">
        <v>27</v>
      </c>
      <c r="B800" s="1">
        <v>799</v>
      </c>
      <c r="C800" s="1" t="s">
        <v>831</v>
      </c>
      <c r="D800">
        <f>IMAGE("https://raw.githubusercontent.com/stautonico/pokemon-home-pokedex/main/sprites/guzzlord.png", 2)</f>
        <v>0</v>
      </c>
      <c r="E800" s="27" t="s">
        <v>17</v>
      </c>
      <c r="F800" s="5"/>
    </row>
    <row r="801" spans="1:6" ht="72" customHeight="1">
      <c r="A801" s="1" t="s">
        <v>27</v>
      </c>
      <c r="B801" s="1">
        <v>800</v>
      </c>
      <c r="C801" s="1" t="s">
        <v>832</v>
      </c>
      <c r="D801">
        <f>IMAGE("https://raw.githubusercontent.com/stautonico/pokemon-home-pokedex/main/sprites/necrozma.png", 2)</f>
        <v>0</v>
      </c>
      <c r="E801" s="27" t="s">
        <v>17</v>
      </c>
      <c r="F801" s="5"/>
    </row>
    <row r="802" spans="1:6" ht="72" customHeight="1">
      <c r="A802" s="1" t="s">
        <v>27</v>
      </c>
      <c r="B802" s="1">
        <v>801</v>
      </c>
      <c r="C802" s="1" t="s">
        <v>833</v>
      </c>
      <c r="D802">
        <f>IMAGE("https://raw.githubusercontent.com/stautonico/pokemon-home-pokedex/main/sprites/magearna.png", 2)</f>
        <v>0</v>
      </c>
      <c r="E802" s="27" t="s">
        <v>17</v>
      </c>
      <c r="F802" s="5"/>
    </row>
    <row r="803" spans="1:6" ht="72" customHeight="1">
      <c r="A803" s="1" t="s">
        <v>27</v>
      </c>
      <c r="B803" s="1">
        <v>802</v>
      </c>
      <c r="C803" s="1" t="s">
        <v>834</v>
      </c>
      <c r="D803">
        <f>IMAGE("https://raw.githubusercontent.com/stautonico/pokemon-home-pokedex/main/sprites/marshadow.png", 2)</f>
        <v>0</v>
      </c>
      <c r="E803" s="32" t="s">
        <v>24</v>
      </c>
      <c r="F803" s="5"/>
    </row>
    <row r="804" spans="1:6" ht="72" customHeight="1">
      <c r="A804" s="1" t="s">
        <v>27</v>
      </c>
      <c r="B804" s="1">
        <v>803</v>
      </c>
      <c r="C804" s="1" t="s">
        <v>835</v>
      </c>
      <c r="D804">
        <f>IMAGE("https://raw.githubusercontent.com/stautonico/pokemon-home-pokedex/main/sprites/poipole.png", 2)</f>
        <v>0</v>
      </c>
      <c r="E804" s="27" t="s">
        <v>17</v>
      </c>
      <c r="F804" s="5"/>
    </row>
    <row r="805" spans="1:6" ht="72" customHeight="1">
      <c r="A805" s="1" t="s">
        <v>27</v>
      </c>
      <c r="B805" s="1">
        <v>804</v>
      </c>
      <c r="C805" s="1" t="s">
        <v>836</v>
      </c>
      <c r="D805">
        <f>IMAGE("https://raw.githubusercontent.com/stautonico/pokemon-home-pokedex/main/sprites/naganadel.png", 2)</f>
        <v>0</v>
      </c>
      <c r="E805" s="27" t="s">
        <v>17</v>
      </c>
      <c r="F805" s="5"/>
    </row>
    <row r="806" spans="1:6" ht="72" customHeight="1">
      <c r="A806" s="1" t="s">
        <v>27</v>
      </c>
      <c r="B806" s="1">
        <v>805</v>
      </c>
      <c r="C806" s="1" t="s">
        <v>837</v>
      </c>
      <c r="D806">
        <f>IMAGE("https://raw.githubusercontent.com/stautonico/pokemon-home-pokedex/main/sprites/stakataka.png", 2)</f>
        <v>0</v>
      </c>
      <c r="E806" s="35" t="s">
        <v>20</v>
      </c>
      <c r="F806" s="5"/>
    </row>
    <row r="807" spans="1:6" ht="72" customHeight="1">
      <c r="A807" s="1" t="s">
        <v>27</v>
      </c>
      <c r="B807" s="1">
        <v>806</v>
      </c>
      <c r="C807" s="1" t="s">
        <v>838</v>
      </c>
      <c r="D807">
        <f>IMAGE("https://raw.githubusercontent.com/stautonico/pokemon-home-pokedex/main/sprites/blacephalon.png", 2)</f>
        <v>0</v>
      </c>
      <c r="E807" s="34" t="s">
        <v>19</v>
      </c>
      <c r="F807" s="5"/>
    </row>
    <row r="808" spans="1:6" ht="72" customHeight="1">
      <c r="A808" s="1" t="s">
        <v>27</v>
      </c>
      <c r="B808" s="1">
        <v>807</v>
      </c>
      <c r="C808" s="1" t="s">
        <v>839</v>
      </c>
      <c r="D808">
        <f>IMAGE("https://raw.githubusercontent.com/stautonico/pokemon-home-pokedex/main/sprites/zeraora.png", 2)</f>
        <v>0</v>
      </c>
      <c r="E808" s="32" t="s">
        <v>24</v>
      </c>
      <c r="F808" s="5"/>
    </row>
    <row r="809" spans="1:6" ht="72" customHeight="1">
      <c r="A809" s="1" t="s">
        <v>27</v>
      </c>
      <c r="B809" s="1">
        <v>808</v>
      </c>
      <c r="C809" s="1" t="s">
        <v>840</v>
      </c>
      <c r="D809">
        <f>IMAGE("https://raw.githubusercontent.com/stautonico/pokemon-home-pokedex/main/sprites/meltan.png", 2)</f>
        <v>0</v>
      </c>
      <c r="E809" s="37" t="s">
        <v>25</v>
      </c>
      <c r="F809" s="5"/>
    </row>
    <row r="810" spans="1:6" ht="72" customHeight="1">
      <c r="A810" s="1" t="s">
        <v>27</v>
      </c>
      <c r="B810" s="1">
        <v>809</v>
      </c>
      <c r="C810" s="1" t="s">
        <v>841</v>
      </c>
      <c r="D810">
        <f>IMAGE("https://raw.githubusercontent.com/stautonico/pokemon-home-pokedex/main/sprites/melmetal.png", 2)</f>
        <v>0</v>
      </c>
      <c r="E810" s="37" t="s">
        <v>25</v>
      </c>
      <c r="F810" s="5"/>
    </row>
    <row r="811" spans="1:6" ht="72" customHeight="1">
      <c r="A811" s="1" t="s">
        <v>27</v>
      </c>
      <c r="B811" s="1">
        <v>810</v>
      </c>
      <c r="C811" s="1" t="s">
        <v>842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27</v>
      </c>
      <c r="B812" s="1">
        <v>811</v>
      </c>
      <c r="C812" s="1" t="s">
        <v>843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27</v>
      </c>
      <c r="B813" s="1">
        <v>812</v>
      </c>
      <c r="C813" s="1" t="s">
        <v>844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27</v>
      </c>
      <c r="B814" s="1">
        <v>813</v>
      </c>
      <c r="C814" s="1" t="s">
        <v>845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27</v>
      </c>
      <c r="B815" s="1">
        <v>814</v>
      </c>
      <c r="C815" s="1" t="s">
        <v>846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27</v>
      </c>
      <c r="B816" s="1">
        <v>815</v>
      </c>
      <c r="C816" s="1" t="s">
        <v>847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27</v>
      </c>
      <c r="B817" s="1">
        <v>816</v>
      </c>
      <c r="C817" s="1" t="s">
        <v>848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27</v>
      </c>
      <c r="B818" s="1">
        <v>817</v>
      </c>
      <c r="C818" s="1" t="s">
        <v>849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27</v>
      </c>
      <c r="B819" s="1">
        <v>818</v>
      </c>
      <c r="C819" s="1" t="s">
        <v>850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27</v>
      </c>
      <c r="B820" s="1">
        <v>819</v>
      </c>
      <c r="C820" s="1" t="s">
        <v>851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27</v>
      </c>
      <c r="B821" s="1">
        <v>820</v>
      </c>
      <c r="C821" s="1" t="s">
        <v>852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27</v>
      </c>
      <c r="B822" s="1">
        <v>821</v>
      </c>
      <c r="C822" s="1" t="s">
        <v>853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27</v>
      </c>
      <c r="B823" s="1">
        <v>822</v>
      </c>
      <c r="C823" s="1" t="s">
        <v>854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27</v>
      </c>
      <c r="B824" s="1">
        <v>823</v>
      </c>
      <c r="C824" s="1" t="s">
        <v>855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27</v>
      </c>
      <c r="B825" s="1">
        <v>824</v>
      </c>
      <c r="C825" s="1" t="s">
        <v>856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27</v>
      </c>
      <c r="B826" s="1">
        <v>825</v>
      </c>
      <c r="C826" s="1" t="s">
        <v>857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27</v>
      </c>
      <c r="B827" s="1">
        <v>826</v>
      </c>
      <c r="C827" s="1" t="s">
        <v>858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27</v>
      </c>
      <c r="B828" s="1">
        <v>827</v>
      </c>
      <c r="C828" s="1" t="s">
        <v>859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27</v>
      </c>
      <c r="B829" s="1">
        <v>828</v>
      </c>
      <c r="C829" s="1" t="s">
        <v>860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27</v>
      </c>
      <c r="B830" s="1">
        <v>829</v>
      </c>
      <c r="C830" s="1" t="s">
        <v>861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27</v>
      </c>
      <c r="B831" s="1">
        <v>830</v>
      </c>
      <c r="C831" s="1" t="s">
        <v>862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27</v>
      </c>
      <c r="B832" s="1">
        <v>831</v>
      </c>
      <c r="C832" s="1" t="s">
        <v>863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27</v>
      </c>
      <c r="B833" s="1">
        <v>832</v>
      </c>
      <c r="C833" s="1" t="s">
        <v>864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27</v>
      </c>
      <c r="B834" s="1">
        <v>833</v>
      </c>
      <c r="C834" s="1" t="s">
        <v>865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27</v>
      </c>
      <c r="B835" s="1">
        <v>834</v>
      </c>
      <c r="C835" s="1" t="s">
        <v>866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27</v>
      </c>
      <c r="B836" s="1">
        <v>835</v>
      </c>
      <c r="C836" s="1" t="s">
        <v>867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27</v>
      </c>
      <c r="B837" s="1">
        <v>836</v>
      </c>
      <c r="C837" s="1" t="s">
        <v>868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27</v>
      </c>
      <c r="B838" s="1">
        <v>837</v>
      </c>
      <c r="C838" s="1" t="s">
        <v>869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27</v>
      </c>
      <c r="B839" s="1">
        <v>838</v>
      </c>
      <c r="C839" s="1" t="s">
        <v>870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27</v>
      </c>
      <c r="B840" s="1">
        <v>839</v>
      </c>
      <c r="C840" s="1" t="s">
        <v>871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27</v>
      </c>
      <c r="B841" s="1">
        <v>840</v>
      </c>
      <c r="C841" s="1" t="s">
        <v>872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27</v>
      </c>
      <c r="B842" s="1">
        <v>841</v>
      </c>
      <c r="C842" s="1" t="s">
        <v>873</v>
      </c>
      <c r="D842">
        <f>IMAGE("https://raw.githubusercontent.com/stautonico/pokemon-home-pokedex/main/sprites/flapple.png", 2)</f>
        <v>0</v>
      </c>
      <c r="E842" s="30" t="s">
        <v>14</v>
      </c>
      <c r="F842" s="5"/>
    </row>
    <row r="843" spans="1:6" ht="72" customHeight="1">
      <c r="A843" s="1" t="s">
        <v>27</v>
      </c>
      <c r="B843" s="1">
        <v>842</v>
      </c>
      <c r="C843" s="1" t="s">
        <v>874</v>
      </c>
      <c r="D843">
        <f>IMAGE("https://raw.githubusercontent.com/stautonico/pokemon-home-pokedex/main/sprites/appletun.png", 2)</f>
        <v>0</v>
      </c>
      <c r="E843" s="28" t="s">
        <v>15</v>
      </c>
      <c r="F843" s="5"/>
    </row>
    <row r="844" spans="1:6" ht="72" customHeight="1">
      <c r="A844" s="1" t="s">
        <v>27</v>
      </c>
      <c r="B844" s="1">
        <v>843</v>
      </c>
      <c r="C844" s="1" t="s">
        <v>875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27</v>
      </c>
      <c r="B845" s="1">
        <v>844</v>
      </c>
      <c r="C845" s="1" t="s">
        <v>876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27</v>
      </c>
      <c r="B846" s="1">
        <v>845</v>
      </c>
      <c r="C846" s="1" t="s">
        <v>877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27</v>
      </c>
      <c r="B847" s="1">
        <v>846</v>
      </c>
      <c r="C847" s="1" t="s">
        <v>878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27</v>
      </c>
      <c r="B848" s="1">
        <v>847</v>
      </c>
      <c r="C848" s="1" t="s">
        <v>879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27</v>
      </c>
      <c r="B849" s="1">
        <v>848</v>
      </c>
      <c r="C849" s="1" t="s">
        <v>880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27</v>
      </c>
      <c r="B850" s="1">
        <v>849</v>
      </c>
      <c r="C850" s="1" t="s">
        <v>881</v>
      </c>
      <c r="D850">
        <f>IMAGE("https://raw.githubusercontent.com/stautonico/pokemon-home-pokedex/main/sprites/toxtricity.png", 2)</f>
        <v>0</v>
      </c>
      <c r="E850" s="4" t="s">
        <v>13</v>
      </c>
      <c r="F850" s="5"/>
    </row>
    <row r="851" spans="1:6" ht="72" customHeight="1">
      <c r="A851" s="1" t="s">
        <v>27</v>
      </c>
      <c r="B851" s="1">
        <v>850</v>
      </c>
      <c r="C851" s="1" t="s">
        <v>882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27</v>
      </c>
      <c r="B852" s="1">
        <v>851</v>
      </c>
      <c r="C852" s="1" t="s">
        <v>883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27</v>
      </c>
      <c r="B853" s="1">
        <v>852</v>
      </c>
      <c r="C853" s="1" t="s">
        <v>884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27</v>
      </c>
      <c r="B854" s="1">
        <v>853</v>
      </c>
      <c r="C854" s="1" t="s">
        <v>885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27</v>
      </c>
      <c r="B855" s="1">
        <v>854</v>
      </c>
      <c r="C855" s="1" t="s">
        <v>886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27</v>
      </c>
      <c r="B856" s="1">
        <v>855</v>
      </c>
      <c r="C856" s="1" t="s">
        <v>887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27</v>
      </c>
      <c r="B857" s="1">
        <v>856</v>
      </c>
      <c r="C857" s="1" t="s">
        <v>888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27</v>
      </c>
      <c r="B858" s="1">
        <v>857</v>
      </c>
      <c r="C858" s="1" t="s">
        <v>889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27</v>
      </c>
      <c r="B859" s="1">
        <v>858</v>
      </c>
      <c r="C859" s="1" t="s">
        <v>890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27</v>
      </c>
      <c r="B860" s="1">
        <v>859</v>
      </c>
      <c r="C860" s="1" t="s">
        <v>891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27</v>
      </c>
      <c r="B861" s="1">
        <v>860</v>
      </c>
      <c r="C861" s="1" t="s">
        <v>892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27</v>
      </c>
      <c r="B862" s="1">
        <v>861</v>
      </c>
      <c r="C862" s="1" t="s">
        <v>893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27</v>
      </c>
      <c r="B863" s="1">
        <v>862</v>
      </c>
      <c r="C863" s="1" t="s">
        <v>894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27</v>
      </c>
      <c r="B864" s="1">
        <v>863</v>
      </c>
      <c r="C864" s="1" t="s">
        <v>895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27</v>
      </c>
      <c r="B865" s="1">
        <v>864</v>
      </c>
      <c r="C865" s="1" t="s">
        <v>896</v>
      </c>
      <c r="D865">
        <f>IMAGE("https://raw.githubusercontent.com/stautonico/pokemon-home-pokedex/main/sprites/cursola.png", 2)</f>
        <v>0</v>
      </c>
      <c r="E865" s="28" t="s">
        <v>15</v>
      </c>
      <c r="F865" s="5"/>
    </row>
    <row r="866" spans="1:6" ht="72" customHeight="1">
      <c r="A866" s="1" t="s">
        <v>27</v>
      </c>
      <c r="B866" s="1">
        <v>865</v>
      </c>
      <c r="C866" s="1" t="s">
        <v>897</v>
      </c>
      <c r="D866">
        <f>IMAGE("https://raw.githubusercontent.com/stautonico/pokemon-home-pokedex/main/sprites/sirfetchd.png", 2)</f>
        <v>0</v>
      </c>
      <c r="E866" s="30" t="s">
        <v>14</v>
      </c>
      <c r="F866" s="5"/>
    </row>
    <row r="867" spans="1:6" ht="72" customHeight="1">
      <c r="A867" s="1" t="s">
        <v>27</v>
      </c>
      <c r="B867" s="1">
        <v>866</v>
      </c>
      <c r="C867" s="1" t="s">
        <v>898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27</v>
      </c>
      <c r="B868" s="1">
        <v>867</v>
      </c>
      <c r="C868" s="1" t="s">
        <v>899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27</v>
      </c>
      <c r="B869" s="1">
        <v>868</v>
      </c>
      <c r="C869" s="1" t="s">
        <v>900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27</v>
      </c>
      <c r="B870" s="1">
        <v>869</v>
      </c>
      <c r="C870" s="1" t="s">
        <v>901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27</v>
      </c>
      <c r="B871" s="1">
        <v>870</v>
      </c>
      <c r="C871" s="1" t="s">
        <v>902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27</v>
      </c>
      <c r="B872" s="1">
        <v>871</v>
      </c>
      <c r="C872" s="1" t="s">
        <v>903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27</v>
      </c>
      <c r="B873" s="1">
        <v>872</v>
      </c>
      <c r="C873" s="1" t="s">
        <v>904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27</v>
      </c>
      <c r="B874" s="1">
        <v>873</v>
      </c>
      <c r="C874" s="1" t="s">
        <v>905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27</v>
      </c>
      <c r="B875" s="1">
        <v>874</v>
      </c>
      <c r="C875" s="1" t="s">
        <v>906</v>
      </c>
      <c r="D875">
        <f>IMAGE("https://raw.githubusercontent.com/stautonico/pokemon-home-pokedex/main/sprites/stonjourner.png", 2)</f>
        <v>0</v>
      </c>
      <c r="E875" s="30" t="s">
        <v>14</v>
      </c>
      <c r="F875" s="5"/>
    </row>
    <row r="876" spans="1:6" ht="72" customHeight="1">
      <c r="A876" s="1" t="s">
        <v>27</v>
      </c>
      <c r="B876" s="1">
        <v>875</v>
      </c>
      <c r="C876" s="1" t="s">
        <v>907</v>
      </c>
      <c r="D876">
        <f>IMAGE("https://raw.githubusercontent.com/stautonico/pokemon-home-pokedex/main/sprites/eiscue.png", 2)</f>
        <v>0</v>
      </c>
      <c r="E876" s="28" t="s">
        <v>15</v>
      </c>
      <c r="F876" s="5"/>
    </row>
    <row r="877" spans="1:6" ht="72" customHeight="1">
      <c r="A877" s="1" t="s">
        <v>27</v>
      </c>
      <c r="B877" s="1">
        <v>876</v>
      </c>
      <c r="C877" s="1" t="s">
        <v>908</v>
      </c>
      <c r="D877">
        <f>IMAGE("https://raw.githubusercontent.com/stautonico/pokemon-home-pokedex/main/sprites/indeedee.png", 2)</f>
        <v>0</v>
      </c>
      <c r="E877" s="4" t="s">
        <v>13</v>
      </c>
      <c r="F877" s="5"/>
    </row>
    <row r="878" spans="1:6" ht="72" customHeight="1">
      <c r="A878" s="1" t="s">
        <v>27</v>
      </c>
      <c r="B878" s="1">
        <v>877</v>
      </c>
      <c r="C878" s="1" t="s">
        <v>909</v>
      </c>
      <c r="D878">
        <f>IMAGE("https://raw.githubusercontent.com/stautonico/pokemon-home-pokedex/main/sprites/morpeko.png", 2)</f>
        <v>0</v>
      </c>
      <c r="E878" s="4" t="s">
        <v>13</v>
      </c>
      <c r="F878" s="5"/>
    </row>
    <row r="879" spans="1:6" ht="72" customHeight="1">
      <c r="A879" s="1" t="s">
        <v>27</v>
      </c>
      <c r="B879" s="1">
        <v>878</v>
      </c>
      <c r="C879" s="1" t="s">
        <v>910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27</v>
      </c>
      <c r="B880" s="1">
        <v>879</v>
      </c>
      <c r="C880" s="1" t="s">
        <v>911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27</v>
      </c>
      <c r="B881" s="1">
        <v>880</v>
      </c>
      <c r="C881" s="1" t="s">
        <v>912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27</v>
      </c>
      <c r="B882" s="1">
        <v>881</v>
      </c>
      <c r="C882" s="1" t="s">
        <v>913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27</v>
      </c>
      <c r="B883" s="1">
        <v>882</v>
      </c>
      <c r="C883" s="1" t="s">
        <v>914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27</v>
      </c>
      <c r="B884" s="1">
        <v>883</v>
      </c>
      <c r="C884" s="1" t="s">
        <v>915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27</v>
      </c>
      <c r="B885" s="1">
        <v>884</v>
      </c>
      <c r="C885" s="1" t="s">
        <v>916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27</v>
      </c>
      <c r="B886" s="1">
        <v>885</v>
      </c>
      <c r="C886" s="1" t="s">
        <v>917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27</v>
      </c>
      <c r="B887" s="1">
        <v>886</v>
      </c>
      <c r="C887" s="1" t="s">
        <v>918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27</v>
      </c>
      <c r="B888" s="1">
        <v>887</v>
      </c>
      <c r="C888" s="1" t="s">
        <v>919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27</v>
      </c>
      <c r="B889" s="1">
        <v>888</v>
      </c>
      <c r="C889" s="1" t="s">
        <v>920</v>
      </c>
      <c r="D889">
        <f>IMAGE("https://raw.githubusercontent.com/stautonico/pokemon-home-pokedex/main/sprites/zacian.png", 2)</f>
        <v>0</v>
      </c>
      <c r="E889" s="30" t="s">
        <v>14</v>
      </c>
      <c r="F889" s="5"/>
    </row>
    <row r="890" spans="1:6" ht="72" customHeight="1">
      <c r="A890" s="1" t="s">
        <v>27</v>
      </c>
      <c r="B890" s="1">
        <v>889</v>
      </c>
      <c r="C890" s="1" t="s">
        <v>921</v>
      </c>
      <c r="D890">
        <f>IMAGE("https://raw.githubusercontent.com/stautonico/pokemon-home-pokedex/main/sprites/zamazenta.png", 2)</f>
        <v>0</v>
      </c>
      <c r="E890" s="28" t="s">
        <v>15</v>
      </c>
      <c r="F890" s="5"/>
    </row>
    <row r="891" spans="1:6" ht="72" customHeight="1">
      <c r="A891" s="1" t="s">
        <v>27</v>
      </c>
      <c r="B891" s="1">
        <v>890</v>
      </c>
      <c r="C891" s="1" t="s">
        <v>922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27</v>
      </c>
      <c r="B892" s="1">
        <v>891</v>
      </c>
      <c r="C892" s="1" t="s">
        <v>923</v>
      </c>
      <c r="D892">
        <f>IMAGE("https://raw.githubusercontent.com/stautonico/pokemon-home-pokedex/main/sprites/kubfu.png", 2)</f>
        <v>0</v>
      </c>
      <c r="E892" s="5" t="s">
        <v>806</v>
      </c>
      <c r="F892" s="5" t="s">
        <v>806</v>
      </c>
    </row>
    <row r="893" spans="1:6" ht="72" customHeight="1">
      <c r="A893" s="1" t="s">
        <v>27</v>
      </c>
      <c r="B893" s="1">
        <v>892</v>
      </c>
      <c r="C893" s="1" t="s">
        <v>924</v>
      </c>
      <c r="D893">
        <f>IMAGE("https://raw.githubusercontent.com/stautonico/pokemon-home-pokedex/main/sprites/urshifu.png", 2)</f>
        <v>0</v>
      </c>
      <c r="E893" s="5" t="s">
        <v>806</v>
      </c>
      <c r="F893" s="5" t="s">
        <v>806</v>
      </c>
    </row>
    <row r="894" spans="1:6" ht="72" customHeight="1">
      <c r="A894" s="1" t="s">
        <v>27</v>
      </c>
      <c r="B894" s="1">
        <v>893</v>
      </c>
      <c r="C894" s="1" t="s">
        <v>925</v>
      </c>
      <c r="D894">
        <f>IMAGE("https://raw.githubusercontent.com/stautonico/pokemon-home-pokedex/main/sprites/zarude.png", 2)</f>
        <v>0</v>
      </c>
      <c r="E894" s="5" t="s">
        <v>806</v>
      </c>
      <c r="F894" s="5" t="s">
        <v>806</v>
      </c>
    </row>
    <row r="895" spans="1:6" ht="72" customHeight="1">
      <c r="A895" s="1" t="s">
        <v>27</v>
      </c>
      <c r="B895" s="1">
        <v>894</v>
      </c>
      <c r="C895" s="1" t="s">
        <v>926</v>
      </c>
      <c r="D895">
        <f>IMAGE("https://raw.githubusercontent.com/stautonico/pokemon-home-pokedex/main/sprites/regieleki.png", 2)</f>
        <v>0</v>
      </c>
      <c r="E895" s="5" t="s">
        <v>806</v>
      </c>
      <c r="F895" s="5" t="s">
        <v>806</v>
      </c>
    </row>
    <row r="896" spans="1:6" ht="72" customHeight="1">
      <c r="A896" s="1" t="s">
        <v>27</v>
      </c>
      <c r="B896" s="1">
        <v>895</v>
      </c>
      <c r="C896" s="1" t="s">
        <v>927</v>
      </c>
      <c r="D896">
        <f>IMAGE("https://raw.githubusercontent.com/stautonico/pokemon-home-pokedex/main/sprites/regidrago.png", 2)</f>
        <v>0</v>
      </c>
      <c r="E896" s="5" t="s">
        <v>806</v>
      </c>
      <c r="F896" s="5" t="s">
        <v>806</v>
      </c>
    </row>
    <row r="897" spans="1:6" ht="72" customHeight="1">
      <c r="A897" s="1" t="s">
        <v>27</v>
      </c>
      <c r="B897" s="1">
        <v>896</v>
      </c>
      <c r="C897" s="1" t="s">
        <v>928</v>
      </c>
      <c r="D897">
        <f>IMAGE("https://raw.githubusercontent.com/stautonico/pokemon-home-pokedex/main/sprites/glastrier.png", 2)</f>
        <v>0</v>
      </c>
      <c r="E897" s="5" t="s">
        <v>806</v>
      </c>
      <c r="F897" s="5" t="s">
        <v>806</v>
      </c>
    </row>
    <row r="898" spans="1:6" ht="72" customHeight="1">
      <c r="A898" s="1" t="s">
        <v>27</v>
      </c>
      <c r="B898" s="1">
        <v>897</v>
      </c>
      <c r="C898" s="1" t="s">
        <v>929</v>
      </c>
      <c r="D898">
        <f>IMAGE("https://raw.githubusercontent.com/stautonico/pokemon-home-pokedex/main/sprites/spectrier.png", 2)</f>
        <v>0</v>
      </c>
      <c r="E898" s="5" t="s">
        <v>806</v>
      </c>
      <c r="F898" s="5" t="s">
        <v>806</v>
      </c>
    </row>
    <row r="899" spans="1:6" ht="72" customHeight="1">
      <c r="A899" s="1" t="s">
        <v>27</v>
      </c>
      <c r="B899" s="1">
        <v>898</v>
      </c>
      <c r="C899" s="1" t="s">
        <v>930</v>
      </c>
      <c r="D899">
        <f>IMAGE("https://raw.githubusercontent.com/stautonico/pokemon-home-pokedex/main/sprites/calyrex.png", 2)</f>
        <v>0</v>
      </c>
      <c r="E899" s="5" t="s">
        <v>806</v>
      </c>
      <c r="F899" s="5" t="s">
        <v>806</v>
      </c>
    </row>
    <row r="900" spans="1:6" ht="72" customHeight="1">
      <c r="A900" s="1" t="s">
        <v>27</v>
      </c>
      <c r="B900" s="1">
        <v>899</v>
      </c>
      <c r="C900" s="1" t="s">
        <v>931</v>
      </c>
      <c r="D900">
        <f>IMAGE("https://raw.githubusercontent.com/stautonico/pokemon-home-pokedex/main/sprites/wyrdeer.png", 2)</f>
        <v>0</v>
      </c>
      <c r="E900" s="38" t="s">
        <v>26</v>
      </c>
      <c r="F900" s="5"/>
    </row>
    <row r="901" spans="1:6" ht="72" customHeight="1">
      <c r="A901" s="1" t="s">
        <v>27</v>
      </c>
      <c r="B901" s="1">
        <v>900</v>
      </c>
      <c r="C901" s="1" t="s">
        <v>932</v>
      </c>
      <c r="D901">
        <f>IMAGE("https://raw.githubusercontent.com/stautonico/pokemon-home-pokedex/main/sprites/kleavor.png", 2)</f>
        <v>0</v>
      </c>
      <c r="E901" s="38" t="s">
        <v>26</v>
      </c>
      <c r="F901" s="5"/>
    </row>
    <row r="902" spans="1:6" ht="72" customHeight="1">
      <c r="A902" s="1" t="s">
        <v>27</v>
      </c>
      <c r="B902" s="1">
        <v>901</v>
      </c>
      <c r="C902" s="1" t="s">
        <v>933</v>
      </c>
      <c r="D902">
        <f>IMAGE("https://raw.githubusercontent.com/stautonico/pokemon-home-pokedex/main/sprites/ursaluna.png", 2)</f>
        <v>0</v>
      </c>
      <c r="E902" s="38" t="s">
        <v>26</v>
      </c>
      <c r="F902" s="5"/>
    </row>
    <row r="903" spans="1:6" ht="72" customHeight="1">
      <c r="A903" s="1" t="s">
        <v>27</v>
      </c>
      <c r="B903" s="1">
        <v>902</v>
      </c>
      <c r="C903" s="1" t="s">
        <v>934</v>
      </c>
      <c r="D903">
        <f>IMAGE("https://raw.githubusercontent.com/stautonico/pokemon-home-pokedex/main/sprites/basculegion.png", 2)</f>
        <v>0</v>
      </c>
      <c r="E903" s="38" t="s">
        <v>26</v>
      </c>
      <c r="F903" s="5"/>
    </row>
    <row r="904" spans="1:6" ht="72" customHeight="1">
      <c r="A904" s="1" t="s">
        <v>27</v>
      </c>
      <c r="B904" s="1">
        <v>903</v>
      </c>
      <c r="C904" s="1" t="s">
        <v>935</v>
      </c>
      <c r="D904">
        <f>IMAGE("https://raw.githubusercontent.com/stautonico/pokemon-home-pokedex/main/sprites/sneasler.png", 2)</f>
        <v>0</v>
      </c>
      <c r="E904" s="38" t="s">
        <v>26</v>
      </c>
      <c r="F904" s="5"/>
    </row>
    <row r="905" spans="1:6" ht="72" customHeight="1">
      <c r="A905" s="1" t="s">
        <v>27</v>
      </c>
      <c r="B905" s="1">
        <v>904</v>
      </c>
      <c r="C905" s="1" t="s">
        <v>936</v>
      </c>
      <c r="D905">
        <f>IMAGE("https://raw.githubusercontent.com/stautonico/pokemon-home-pokedex/main/sprites/overqwil.png", 2)</f>
        <v>0</v>
      </c>
      <c r="E905" s="38" t="s">
        <v>26</v>
      </c>
      <c r="F905" s="5"/>
    </row>
    <row r="906" spans="1:6" ht="72" customHeight="1">
      <c r="A906" s="1" t="s">
        <v>27</v>
      </c>
      <c r="B906" s="1">
        <v>905</v>
      </c>
      <c r="C906" s="1" t="s">
        <v>937</v>
      </c>
      <c r="D906">
        <f>IMAGE("https://raw.githubusercontent.com/stautonico/pokemon-home-pokedex/main/sprites/enamorus.png", 2)</f>
        <v>0</v>
      </c>
      <c r="E906" s="38" t="s">
        <v>26</v>
      </c>
      <c r="F906" s="5"/>
    </row>
    <row r="907" spans="1:6" ht="72" customHeight="1">
      <c r="A907" s="1" t="s">
        <v>27</v>
      </c>
      <c r="B907" s="1">
        <v>3</v>
      </c>
      <c r="C907" s="1" t="s">
        <v>938</v>
      </c>
      <c r="D907">
        <f>IMAGE("https://raw.githubusercontent.com/stautonico/pokemon-home-pokedex/main/sprites/venusaur-f.png", 2)</f>
        <v>0</v>
      </c>
      <c r="E907" s="2" t="s">
        <v>9</v>
      </c>
      <c r="F907" s="3" t="s">
        <v>12</v>
      </c>
    </row>
    <row r="908" spans="1:6" ht="72" customHeight="1">
      <c r="A908" s="1" t="s">
        <v>27</v>
      </c>
      <c r="B908" s="1">
        <v>12</v>
      </c>
      <c r="C908" s="1" t="s">
        <v>939</v>
      </c>
      <c r="D908">
        <f>IMAGE("https://raw.githubusercontent.com/stautonico/pokemon-home-pokedex/main/sprites/butterfree-f.png", 2)</f>
        <v>0</v>
      </c>
      <c r="E908" s="4" t="s">
        <v>13</v>
      </c>
      <c r="F908" s="5"/>
    </row>
    <row r="909" spans="1:6" ht="72" customHeight="1">
      <c r="A909" s="1" t="s">
        <v>27</v>
      </c>
      <c r="B909" s="1">
        <v>19</v>
      </c>
      <c r="C909" s="1" t="s">
        <v>940</v>
      </c>
      <c r="D909">
        <f>IMAGE("https://raw.githubusercontent.com/stautonico/pokemon-home-pokedex/main/sprites/rattata-f.png", 2)</f>
        <v>0</v>
      </c>
      <c r="E909" s="2" t="s">
        <v>9</v>
      </c>
      <c r="F909" s="5"/>
    </row>
    <row r="910" spans="1:6" ht="72" customHeight="1">
      <c r="A910" s="1" t="s">
        <v>27</v>
      </c>
      <c r="B910" s="1">
        <v>20</v>
      </c>
      <c r="C910" s="1" t="s">
        <v>941</v>
      </c>
      <c r="D910">
        <f>IMAGE("https://raw.githubusercontent.com/stautonico/pokemon-home-pokedex/main/sprites/raticate-f.png", 2)</f>
        <v>0</v>
      </c>
      <c r="E910" s="2" t="s">
        <v>9</v>
      </c>
      <c r="F910" s="5"/>
    </row>
    <row r="911" spans="1:6" ht="72" customHeight="1">
      <c r="A911" s="1" t="s">
        <v>27</v>
      </c>
      <c r="B911" s="1">
        <v>25</v>
      </c>
      <c r="C911" s="1" t="s">
        <v>942</v>
      </c>
      <c r="D911">
        <f>IMAGE("https://raw.githubusercontent.com/stautonico/pokemon-home-pokedex/main/sprites/pikachu-f.png", 2)</f>
        <v>0</v>
      </c>
      <c r="E911" s="4" t="s">
        <v>13</v>
      </c>
      <c r="F911" s="5"/>
    </row>
    <row r="912" spans="1:6" ht="72" customHeight="1">
      <c r="A912" s="1" t="s">
        <v>27</v>
      </c>
      <c r="B912" s="1">
        <v>26</v>
      </c>
      <c r="C912" s="1" t="s">
        <v>943</v>
      </c>
      <c r="D912">
        <f>IMAGE("https://raw.githubusercontent.com/stautonico/pokemon-home-pokedex/main/sprites/raichu-f.png", 2)</f>
        <v>0</v>
      </c>
      <c r="E912" s="4" t="s">
        <v>13</v>
      </c>
      <c r="F912" s="5"/>
    </row>
    <row r="913" spans="1:6" ht="72" customHeight="1">
      <c r="A913" s="1" t="s">
        <v>27</v>
      </c>
      <c r="B913" s="1">
        <v>41</v>
      </c>
      <c r="C913" s="1" t="s">
        <v>944</v>
      </c>
      <c r="D913">
        <f>IMAGE("https://raw.githubusercontent.com/stautonico/pokemon-home-pokedex/main/sprites/zubat-f.png", 2)</f>
        <v>0</v>
      </c>
      <c r="E913" s="2" t="s">
        <v>9</v>
      </c>
      <c r="F913" s="5"/>
    </row>
    <row r="914" spans="1:6" ht="72" customHeight="1">
      <c r="A914" s="1" t="s">
        <v>27</v>
      </c>
      <c r="B914" s="1">
        <v>42</v>
      </c>
      <c r="C914" s="1" t="s">
        <v>945</v>
      </c>
      <c r="D914">
        <f>IMAGE("https://raw.githubusercontent.com/stautonico/pokemon-home-pokedex/main/sprites/golbat-f.png", 2)</f>
        <v>0</v>
      </c>
      <c r="E914" s="2" t="s">
        <v>9</v>
      </c>
      <c r="F914" s="5"/>
    </row>
    <row r="915" spans="1:6" ht="72" customHeight="1">
      <c r="A915" s="1" t="s">
        <v>27</v>
      </c>
      <c r="B915" s="1">
        <v>44</v>
      </c>
      <c r="C915" s="1" t="s">
        <v>946</v>
      </c>
      <c r="D915">
        <f>IMAGE("https://raw.githubusercontent.com/stautonico/pokemon-home-pokedex/main/sprites/gloom-f.png", 2)</f>
        <v>0</v>
      </c>
      <c r="E915" s="4" t="s">
        <v>13</v>
      </c>
      <c r="F915" s="5"/>
    </row>
    <row r="916" spans="1:6" ht="72" customHeight="1">
      <c r="A916" s="1" t="s">
        <v>27</v>
      </c>
      <c r="B916" s="1">
        <v>45</v>
      </c>
      <c r="C916" s="1" t="s">
        <v>947</v>
      </c>
      <c r="D916">
        <f>IMAGE("https://raw.githubusercontent.com/stautonico/pokemon-home-pokedex/main/sprites/vileplume-f.png", 2)</f>
        <v>0</v>
      </c>
      <c r="E916" s="4" t="s">
        <v>13</v>
      </c>
      <c r="F916" s="5"/>
    </row>
    <row r="917" spans="1:6" ht="72" customHeight="1">
      <c r="A917" s="1" t="s">
        <v>27</v>
      </c>
      <c r="B917" s="1">
        <v>64</v>
      </c>
      <c r="C917" s="1" t="s">
        <v>948</v>
      </c>
      <c r="D917">
        <f>IMAGE("https://raw.githubusercontent.com/stautonico/pokemon-home-pokedex/main/sprites/kadabra-f.png", 2)</f>
        <v>0</v>
      </c>
      <c r="E917" s="3" t="s">
        <v>12</v>
      </c>
      <c r="F917" s="5"/>
    </row>
    <row r="918" spans="1:6" ht="72" customHeight="1">
      <c r="A918" s="1" t="s">
        <v>27</v>
      </c>
      <c r="B918" s="1">
        <v>65</v>
      </c>
      <c r="C918" s="1" t="s">
        <v>949</v>
      </c>
      <c r="D918">
        <f>IMAGE("https://raw.githubusercontent.com/stautonico/pokemon-home-pokedex/main/sprites/alakazam-f.png", 2)</f>
        <v>0</v>
      </c>
      <c r="E918" s="3" t="s">
        <v>12</v>
      </c>
      <c r="F918" s="5"/>
    </row>
    <row r="919" spans="1:6" ht="72" customHeight="1">
      <c r="A919" s="1" t="s">
        <v>27</v>
      </c>
      <c r="B919" s="1">
        <v>84</v>
      </c>
      <c r="C919" s="1" t="s">
        <v>950</v>
      </c>
      <c r="D919">
        <f>IMAGE("https://raw.githubusercontent.com/stautonico/pokemon-home-pokedex/main/sprites/doduo-f.png", 2)</f>
        <v>0</v>
      </c>
      <c r="E919" s="2" t="s">
        <v>9</v>
      </c>
      <c r="F919" s="5"/>
    </row>
    <row r="920" spans="1:6" ht="72" customHeight="1">
      <c r="A920" s="1" t="s">
        <v>27</v>
      </c>
      <c r="B920" s="1">
        <v>85</v>
      </c>
      <c r="C920" s="1" t="s">
        <v>951</v>
      </c>
      <c r="D920">
        <f>IMAGE("https://raw.githubusercontent.com/stautonico/pokemon-home-pokedex/main/sprites/dodrio-f.png", 2)</f>
        <v>0</v>
      </c>
      <c r="E920" s="2" t="s">
        <v>9</v>
      </c>
      <c r="F920" s="5"/>
    </row>
    <row r="921" spans="1:6" ht="72" customHeight="1">
      <c r="A921" s="1" t="s">
        <v>27</v>
      </c>
      <c r="B921" s="1">
        <v>97</v>
      </c>
      <c r="C921" s="1" t="s">
        <v>952</v>
      </c>
      <c r="D921">
        <f>IMAGE("https://raw.githubusercontent.com/stautonico/pokemon-home-pokedex/main/sprites/hypno-f.png", 2)</f>
        <v>0</v>
      </c>
      <c r="E921" s="2" t="s">
        <v>9</v>
      </c>
      <c r="F921" s="5"/>
    </row>
    <row r="922" spans="1:6" ht="72" customHeight="1">
      <c r="A922" s="1" t="s">
        <v>27</v>
      </c>
      <c r="B922" s="1">
        <v>111</v>
      </c>
      <c r="C922" s="1" t="s">
        <v>953</v>
      </c>
      <c r="D922">
        <f>IMAGE("https://raw.githubusercontent.com/stautonico/pokemon-home-pokedex/main/sprites/rhyhorn-f.png", 2)</f>
        <v>0</v>
      </c>
      <c r="E922" s="4" t="s">
        <v>13</v>
      </c>
      <c r="F922" s="5"/>
    </row>
    <row r="923" spans="1:6" ht="72" customHeight="1">
      <c r="A923" s="1" t="s">
        <v>27</v>
      </c>
      <c r="B923" s="1">
        <v>112</v>
      </c>
      <c r="C923" s="1" t="s">
        <v>954</v>
      </c>
      <c r="D923">
        <f>IMAGE("https://raw.githubusercontent.com/stautonico/pokemon-home-pokedex/main/sprites/rhydon-f.png", 2)</f>
        <v>0</v>
      </c>
      <c r="E923" s="4" t="s">
        <v>13</v>
      </c>
      <c r="F923" s="5"/>
    </row>
    <row r="924" spans="1:6" ht="72" customHeight="1">
      <c r="A924" s="1" t="s">
        <v>27</v>
      </c>
      <c r="B924" s="1">
        <v>118</v>
      </c>
      <c r="C924" s="1" t="s">
        <v>955</v>
      </c>
      <c r="D924">
        <f>IMAGE("https://raw.githubusercontent.com/stautonico/pokemon-home-pokedex/main/sprites/goldeen-f.png", 2)</f>
        <v>0</v>
      </c>
      <c r="E924" s="4" t="s">
        <v>13</v>
      </c>
      <c r="F924" s="5"/>
    </row>
    <row r="925" spans="1:6" ht="72" customHeight="1">
      <c r="A925" s="1" t="s">
        <v>27</v>
      </c>
      <c r="B925" s="1">
        <v>119</v>
      </c>
      <c r="C925" s="1" t="s">
        <v>956</v>
      </c>
      <c r="D925">
        <f>IMAGE("https://raw.githubusercontent.com/stautonico/pokemon-home-pokedex/main/sprites/seaking-f.png", 2)</f>
        <v>0</v>
      </c>
      <c r="E925" s="4" t="s">
        <v>13</v>
      </c>
      <c r="F925" s="5"/>
    </row>
    <row r="926" spans="1:6" ht="72" customHeight="1">
      <c r="A926" s="1" t="s">
        <v>27</v>
      </c>
      <c r="B926" s="1">
        <v>123</v>
      </c>
      <c r="C926" s="1" t="s">
        <v>957</v>
      </c>
      <c r="D926">
        <f>IMAGE("https://raw.githubusercontent.com/stautonico/pokemon-home-pokedex/main/sprites/scyther-f.png", 2)</f>
        <v>0</v>
      </c>
      <c r="E926" s="3" t="s">
        <v>12</v>
      </c>
      <c r="F926" s="26" t="s">
        <v>10</v>
      </c>
    </row>
    <row r="927" spans="1:6" ht="72" customHeight="1">
      <c r="A927" s="1" t="s">
        <v>27</v>
      </c>
      <c r="B927" s="1">
        <v>129</v>
      </c>
      <c r="C927" s="1" t="s">
        <v>958</v>
      </c>
      <c r="D927">
        <f>IMAGE("https://raw.githubusercontent.com/stautonico/pokemon-home-pokedex/main/sprites/magikarp-f.png", 2)</f>
        <v>0</v>
      </c>
      <c r="E927" s="4" t="s">
        <v>13</v>
      </c>
      <c r="F927" s="5"/>
    </row>
    <row r="928" spans="1:6" ht="72" customHeight="1">
      <c r="A928" s="1" t="s">
        <v>27</v>
      </c>
      <c r="B928" s="1">
        <v>130</v>
      </c>
      <c r="C928" s="1" t="s">
        <v>959</v>
      </c>
      <c r="D928">
        <f>IMAGE("https://raw.githubusercontent.com/stautonico/pokemon-home-pokedex/main/sprites/gyarados-f.png", 2)</f>
        <v>0</v>
      </c>
      <c r="E928" s="4" t="s">
        <v>13</v>
      </c>
      <c r="F928" s="5"/>
    </row>
    <row r="929" spans="1:6" ht="72" customHeight="1">
      <c r="A929" s="1" t="s">
        <v>27</v>
      </c>
      <c r="B929" s="1">
        <v>133</v>
      </c>
      <c r="C929" s="1" t="s">
        <v>960</v>
      </c>
      <c r="D929">
        <f>IMAGE("https://raw.githubusercontent.com/stautonico/pokemon-home-pokedex/main/sprites/eevee-f.png", 2)</f>
        <v>0</v>
      </c>
      <c r="E929" s="4" t="s">
        <v>13</v>
      </c>
      <c r="F929" s="5"/>
    </row>
    <row r="930" spans="1:6" ht="72" customHeight="1">
      <c r="A930" s="1" t="s">
        <v>27</v>
      </c>
      <c r="B930" s="1">
        <v>154</v>
      </c>
      <c r="C930" s="1" t="s">
        <v>961</v>
      </c>
      <c r="D930">
        <f>IMAGE("https://raw.githubusercontent.com/stautonico/pokemon-home-pokedex/main/sprites/meganium-f.png", 2)</f>
        <v>0</v>
      </c>
      <c r="E930" s="31" t="s">
        <v>18</v>
      </c>
      <c r="F930" s="29" t="s">
        <v>21</v>
      </c>
    </row>
    <row r="931" spans="1:6" ht="72" customHeight="1">
      <c r="A931" s="1" t="s">
        <v>27</v>
      </c>
      <c r="B931" s="1">
        <v>165</v>
      </c>
      <c r="C931" s="1" t="s">
        <v>962</v>
      </c>
      <c r="D931">
        <f>IMAGE("https://raw.githubusercontent.com/stautonico/pokemon-home-pokedex/main/sprites/ledyba-f.png", 2)</f>
        <v>0</v>
      </c>
      <c r="E931" s="31" t="s">
        <v>18</v>
      </c>
      <c r="F931" s="5"/>
    </row>
    <row r="932" spans="1:6" ht="72" customHeight="1">
      <c r="A932" s="1" t="s">
        <v>27</v>
      </c>
      <c r="B932" s="1">
        <v>166</v>
      </c>
      <c r="C932" s="1" t="s">
        <v>963</v>
      </c>
      <c r="D932">
        <f>IMAGE("https://raw.githubusercontent.com/stautonico/pokemon-home-pokedex/main/sprites/ledian-f.png", 2)</f>
        <v>0</v>
      </c>
      <c r="E932" s="31" t="s">
        <v>18</v>
      </c>
      <c r="F932" s="5"/>
    </row>
    <row r="933" spans="1:6" ht="72" customHeight="1">
      <c r="A933" s="1" t="s">
        <v>27</v>
      </c>
      <c r="B933" s="1">
        <v>178</v>
      </c>
      <c r="C933" s="1" t="s">
        <v>964</v>
      </c>
      <c r="D933">
        <f>IMAGE("https://raw.githubusercontent.com/stautonico/pokemon-home-pokedex/main/sprites/xatu-f.png", 2)</f>
        <v>0</v>
      </c>
      <c r="E933" s="4" t="s">
        <v>13</v>
      </c>
      <c r="F933" s="5"/>
    </row>
    <row r="934" spans="1:6" ht="72" customHeight="1">
      <c r="A934" s="1" t="s">
        <v>27</v>
      </c>
      <c r="B934" s="1">
        <v>185</v>
      </c>
      <c r="C934" s="1" t="s">
        <v>965</v>
      </c>
      <c r="D934">
        <f>IMAGE("https://raw.githubusercontent.com/stautonico/pokemon-home-pokedex/main/sprites/sudowoodo-f.png", 2)</f>
        <v>0</v>
      </c>
      <c r="E934" s="4" t="s">
        <v>13</v>
      </c>
      <c r="F934" s="5"/>
    </row>
    <row r="935" spans="1:6" ht="72" customHeight="1">
      <c r="A935" s="1" t="s">
        <v>27</v>
      </c>
      <c r="B935" s="1">
        <v>186</v>
      </c>
      <c r="C935" s="1" t="s">
        <v>966</v>
      </c>
      <c r="D935">
        <f>IMAGE("https://raw.githubusercontent.com/stautonico/pokemon-home-pokedex/main/sprites/politoed-f.png", 2)</f>
        <v>0</v>
      </c>
      <c r="E935" s="3" t="s">
        <v>12</v>
      </c>
      <c r="F935" s="31" t="s">
        <v>18</v>
      </c>
    </row>
    <row r="936" spans="1:6" ht="72" customHeight="1">
      <c r="A936" s="1" t="s">
        <v>27</v>
      </c>
      <c r="B936" s="1">
        <v>190</v>
      </c>
      <c r="C936" s="1" t="s">
        <v>967</v>
      </c>
      <c r="D936">
        <f>IMAGE("https://raw.githubusercontent.com/stautonico/pokemon-home-pokedex/main/sprites/aipom-f.png", 2)</f>
        <v>0</v>
      </c>
      <c r="E936" s="31" t="s">
        <v>18</v>
      </c>
      <c r="F936" s="5"/>
    </row>
    <row r="937" spans="1:6" ht="72" customHeight="1">
      <c r="A937" s="1" t="s">
        <v>27</v>
      </c>
      <c r="B937" s="1">
        <v>194</v>
      </c>
      <c r="C937" s="1" t="s">
        <v>968</v>
      </c>
      <c r="D937">
        <f>IMAGE("https://raw.githubusercontent.com/stautonico/pokemon-home-pokedex/main/sprites/wooper-f.png", 2)</f>
        <v>0</v>
      </c>
      <c r="E937" s="4" t="s">
        <v>13</v>
      </c>
      <c r="F937" s="5"/>
    </row>
    <row r="938" spans="1:6" ht="72" customHeight="1">
      <c r="A938" s="1" t="s">
        <v>27</v>
      </c>
      <c r="B938" s="1">
        <v>195</v>
      </c>
      <c r="C938" s="1" t="s">
        <v>969</v>
      </c>
      <c r="D938">
        <f>IMAGE("https://raw.githubusercontent.com/stautonico/pokemon-home-pokedex/main/sprites/quagsire-f.png", 2)</f>
        <v>0</v>
      </c>
      <c r="E938" s="4" t="s">
        <v>13</v>
      </c>
      <c r="F938" s="5"/>
    </row>
    <row r="939" spans="1:6" ht="72" customHeight="1">
      <c r="A939" s="1" t="s">
        <v>27</v>
      </c>
      <c r="B939" s="1">
        <v>198</v>
      </c>
      <c r="C939" s="1" t="s">
        <v>970</v>
      </c>
      <c r="D939">
        <f>IMAGE("https://raw.githubusercontent.com/stautonico/pokemon-home-pokedex/main/sprites/murkrow-f.png", 2)</f>
        <v>0</v>
      </c>
      <c r="E939" s="31" t="s">
        <v>18</v>
      </c>
      <c r="F939" s="5"/>
    </row>
    <row r="940" spans="1:6" ht="72" customHeight="1">
      <c r="A940" s="1" t="s">
        <v>27</v>
      </c>
      <c r="B940" s="1">
        <v>202</v>
      </c>
      <c r="C940" s="1" t="s">
        <v>971</v>
      </c>
      <c r="D940">
        <f>IMAGE("https://raw.githubusercontent.com/stautonico/pokemon-home-pokedex/main/sprites/wobbuffet-f.png", 2)</f>
        <v>0</v>
      </c>
      <c r="E940" s="4" t="s">
        <v>13</v>
      </c>
      <c r="F940" s="5"/>
    </row>
    <row r="941" spans="1:6" ht="72" customHeight="1">
      <c r="A941" s="1" t="s">
        <v>27</v>
      </c>
      <c r="B941" s="1">
        <v>203</v>
      </c>
      <c r="C941" s="1" t="s">
        <v>972</v>
      </c>
      <c r="D941">
        <f>IMAGE("https://raw.githubusercontent.com/stautonico/pokemon-home-pokedex/main/sprites/girafarig-f.png", 2)</f>
        <v>0</v>
      </c>
      <c r="E941" s="29" t="s">
        <v>21</v>
      </c>
      <c r="F941" s="5"/>
    </row>
    <row r="942" spans="1:6" ht="72" customHeight="1">
      <c r="A942" s="1" t="s">
        <v>27</v>
      </c>
      <c r="B942" s="1">
        <v>207</v>
      </c>
      <c r="C942" s="1" t="s">
        <v>973</v>
      </c>
      <c r="D942">
        <f>IMAGE("https://raw.githubusercontent.com/stautonico/pokemon-home-pokedex/main/sprites/gligar-f.png", 2)</f>
        <v>0</v>
      </c>
      <c r="E942" s="31" t="s">
        <v>18</v>
      </c>
      <c r="F942" s="5"/>
    </row>
    <row r="943" spans="1:6" ht="72" customHeight="1">
      <c r="A943" s="1" t="s">
        <v>27</v>
      </c>
      <c r="B943" s="1">
        <v>208</v>
      </c>
      <c r="C943" s="1" t="s">
        <v>974</v>
      </c>
      <c r="D943">
        <f>IMAGE("https://raw.githubusercontent.com/stautonico/pokemon-home-pokedex/main/sprites/steelix-f.png", 2)</f>
        <v>0</v>
      </c>
      <c r="E943" s="4" t="s">
        <v>13</v>
      </c>
      <c r="F943" s="5"/>
    </row>
    <row r="944" spans="1:6" ht="72" customHeight="1">
      <c r="A944" s="1" t="s">
        <v>27</v>
      </c>
      <c r="B944" s="1">
        <v>212</v>
      </c>
      <c r="C944" s="1" t="s">
        <v>975</v>
      </c>
      <c r="D944">
        <f>IMAGE("https://raw.githubusercontent.com/stautonico/pokemon-home-pokedex/main/sprites/scizor-f.png", 2)</f>
        <v>0</v>
      </c>
      <c r="E944" s="3" t="s">
        <v>12</v>
      </c>
      <c r="F944" s="31" t="s">
        <v>18</v>
      </c>
    </row>
    <row r="945" spans="1:6" ht="72" customHeight="1">
      <c r="A945" s="1" t="s">
        <v>27</v>
      </c>
      <c r="B945" s="1">
        <v>214</v>
      </c>
      <c r="C945" s="1" t="s">
        <v>976</v>
      </c>
      <c r="D945">
        <f>IMAGE("https://raw.githubusercontent.com/stautonico/pokemon-home-pokedex/main/sprites/heracross-f.png", 2)</f>
        <v>0</v>
      </c>
      <c r="E945" s="3" t="s">
        <v>12</v>
      </c>
      <c r="F945" s="31" t="s">
        <v>18</v>
      </c>
    </row>
    <row r="946" spans="1:6" ht="72" customHeight="1">
      <c r="A946" s="1" t="s">
        <v>27</v>
      </c>
      <c r="B946" s="1">
        <v>215</v>
      </c>
      <c r="C946" s="1" t="s">
        <v>977</v>
      </c>
      <c r="D946">
        <f>IMAGE("https://raw.githubusercontent.com/stautonico/pokemon-home-pokedex/main/sprites/sneasel-f.png", 2)</f>
        <v>0</v>
      </c>
      <c r="E946" s="4" t="s">
        <v>13</v>
      </c>
      <c r="F946" s="5"/>
    </row>
    <row r="947" spans="1:6" ht="72" customHeight="1">
      <c r="A947" s="1" t="s">
        <v>27</v>
      </c>
      <c r="B947" s="1">
        <v>10235</v>
      </c>
      <c r="C947" s="1" t="s">
        <v>978</v>
      </c>
      <c r="D947">
        <f>IMAGE("https://raw.githubusercontent.com/stautonico/pokemon-home-pokedex/main/sprites/sneasel-hisui-f.png", 2)</f>
        <v>0</v>
      </c>
      <c r="E947" s="38" t="s">
        <v>26</v>
      </c>
      <c r="F947" s="5"/>
    </row>
    <row r="948" spans="1:6" ht="72" customHeight="1">
      <c r="A948" s="1" t="s">
        <v>27</v>
      </c>
      <c r="B948" s="1">
        <v>217</v>
      </c>
      <c r="C948" s="1" t="s">
        <v>979</v>
      </c>
      <c r="D948">
        <f>IMAGE("https://raw.githubusercontent.com/stautonico/pokemon-home-pokedex/main/sprites/ursaring-f.png", 2)</f>
        <v>0</v>
      </c>
      <c r="E948" s="31" t="s">
        <v>18</v>
      </c>
      <c r="F948" s="5"/>
    </row>
    <row r="949" spans="1:6" ht="72" customHeight="1">
      <c r="A949" s="1" t="s">
        <v>27</v>
      </c>
      <c r="B949" s="1">
        <v>221</v>
      </c>
      <c r="C949" s="1" t="s">
        <v>980</v>
      </c>
      <c r="D949">
        <f>IMAGE("https://raw.githubusercontent.com/stautonico/pokemon-home-pokedex/main/sprites/piloswine-f.png", 2)</f>
        <v>0</v>
      </c>
      <c r="E949" s="4" t="s">
        <v>13</v>
      </c>
      <c r="F949" s="5"/>
    </row>
    <row r="950" spans="1:6" ht="72" customHeight="1">
      <c r="A950" s="1" t="s">
        <v>27</v>
      </c>
      <c r="B950" s="1">
        <v>224</v>
      </c>
      <c r="C950" s="1" t="s">
        <v>981</v>
      </c>
      <c r="D950">
        <f>IMAGE("https://raw.githubusercontent.com/stautonico/pokemon-home-pokedex/main/sprites/octillery-f.png", 2)</f>
        <v>0</v>
      </c>
      <c r="E950" s="4" t="s">
        <v>13</v>
      </c>
      <c r="F950" s="5"/>
    </row>
    <row r="951" spans="1:6" ht="72" customHeight="1">
      <c r="A951" s="1" t="s">
        <v>27</v>
      </c>
      <c r="B951" s="1">
        <v>229</v>
      </c>
      <c r="C951" s="1" t="s">
        <v>982</v>
      </c>
      <c r="D951">
        <f>IMAGE("https://raw.githubusercontent.com/stautonico/pokemon-home-pokedex/main/sprites/houndoom-f.png", 2)</f>
        <v>0</v>
      </c>
      <c r="E951" s="31" t="s">
        <v>18</v>
      </c>
      <c r="F951" s="5"/>
    </row>
    <row r="952" spans="1:6" ht="72" customHeight="1">
      <c r="A952" s="1" t="s">
        <v>27</v>
      </c>
      <c r="B952" s="1">
        <v>232</v>
      </c>
      <c r="C952" s="1" t="s">
        <v>983</v>
      </c>
      <c r="D952">
        <f>IMAGE("https://raw.githubusercontent.com/stautonico/pokemon-home-pokedex/main/sprites/donphan-f.png", 2)</f>
        <v>0</v>
      </c>
      <c r="E952" s="31" t="s">
        <v>18</v>
      </c>
      <c r="F952" s="5"/>
    </row>
    <row r="953" spans="1:6" ht="72" customHeight="1">
      <c r="A953" s="1" t="s">
        <v>27</v>
      </c>
      <c r="B953" s="1">
        <v>255</v>
      </c>
      <c r="C953" s="1" t="s">
        <v>984</v>
      </c>
      <c r="D953">
        <f>IMAGE("https://raw.githubusercontent.com/stautonico/pokemon-home-pokedex/main/sprites/torchic-f.png", 2)</f>
        <v>0</v>
      </c>
      <c r="E953" s="27" t="s">
        <v>17</v>
      </c>
      <c r="F953" s="29" t="s">
        <v>21</v>
      </c>
    </row>
    <row r="954" spans="1:6" ht="72" customHeight="1">
      <c r="A954" s="1" t="s">
        <v>27</v>
      </c>
      <c r="B954" s="1">
        <v>256</v>
      </c>
      <c r="C954" s="1" t="s">
        <v>985</v>
      </c>
      <c r="D954">
        <f>IMAGE("https://raw.githubusercontent.com/stautonico/pokemon-home-pokedex/main/sprites/combusken-f.png", 2)</f>
        <v>0</v>
      </c>
      <c r="E954" s="27" t="s">
        <v>17</v>
      </c>
      <c r="F954" s="29" t="s">
        <v>21</v>
      </c>
    </row>
    <row r="955" spans="1:6" ht="72" customHeight="1">
      <c r="A955" s="1" t="s">
        <v>27</v>
      </c>
      <c r="B955" s="1">
        <v>257</v>
      </c>
      <c r="C955" s="1" t="s">
        <v>986</v>
      </c>
      <c r="D955">
        <f>IMAGE("https://raw.githubusercontent.com/stautonico/pokemon-home-pokedex/main/sprites/blaziken-f.png", 2)</f>
        <v>0</v>
      </c>
      <c r="E955" s="27" t="s">
        <v>17</v>
      </c>
      <c r="F955" s="29" t="s">
        <v>21</v>
      </c>
    </row>
    <row r="956" spans="1:6" ht="72" customHeight="1">
      <c r="A956" s="1" t="s">
        <v>27</v>
      </c>
      <c r="B956" s="1">
        <v>267</v>
      </c>
      <c r="C956" s="1" t="s">
        <v>987</v>
      </c>
      <c r="D956">
        <f>IMAGE("https://raw.githubusercontent.com/stautonico/pokemon-home-pokedex/main/sprites/beautifly-f.png", 2)</f>
        <v>0</v>
      </c>
      <c r="E956" s="29" t="s">
        <v>21</v>
      </c>
      <c r="F956" s="5"/>
    </row>
    <row r="957" spans="1:6" ht="72" customHeight="1">
      <c r="A957" s="1" t="s">
        <v>27</v>
      </c>
      <c r="B957" s="1">
        <v>269</v>
      </c>
      <c r="C957" s="1" t="s">
        <v>988</v>
      </c>
      <c r="D957">
        <f>IMAGE("https://raw.githubusercontent.com/stautonico/pokemon-home-pokedex/main/sprites/dustox-f.png", 2)</f>
        <v>0</v>
      </c>
      <c r="E957" s="29" t="s">
        <v>21</v>
      </c>
      <c r="F957" s="5"/>
    </row>
    <row r="958" spans="1:6" ht="72" customHeight="1">
      <c r="A958" s="1" t="s">
        <v>27</v>
      </c>
      <c r="B958" s="1">
        <v>272</v>
      </c>
      <c r="C958" s="1" t="s">
        <v>989</v>
      </c>
      <c r="D958">
        <f>IMAGE("https://raw.githubusercontent.com/stautonico/pokemon-home-pokedex/main/sprites/ludicolo-f.png", 2)</f>
        <v>0</v>
      </c>
      <c r="E958" s="28" t="s">
        <v>15</v>
      </c>
      <c r="F958" s="24" t="s">
        <v>16</v>
      </c>
    </row>
    <row r="959" spans="1:6" ht="72" customHeight="1">
      <c r="A959" s="1" t="s">
        <v>27</v>
      </c>
      <c r="B959" s="1">
        <v>274</v>
      </c>
      <c r="C959" s="1" t="s">
        <v>990</v>
      </c>
      <c r="D959">
        <f>IMAGE("https://raw.githubusercontent.com/stautonico/pokemon-home-pokedex/main/sprites/nuzleaf-f.png", 2)</f>
        <v>0</v>
      </c>
      <c r="E959" s="30" t="s">
        <v>14</v>
      </c>
      <c r="F959" s="24" t="s">
        <v>16</v>
      </c>
    </row>
    <row r="960" spans="1:6" ht="72" customHeight="1">
      <c r="A960" s="1" t="s">
        <v>27</v>
      </c>
      <c r="B960" s="1">
        <v>275</v>
      </c>
      <c r="C960" s="1" t="s">
        <v>991</v>
      </c>
      <c r="D960">
        <f>IMAGE("https://raw.githubusercontent.com/stautonico/pokemon-home-pokedex/main/sprites/shiftry-f.png", 2)</f>
        <v>0</v>
      </c>
      <c r="E960" s="30" t="s">
        <v>14</v>
      </c>
      <c r="F960" s="24" t="s">
        <v>16</v>
      </c>
    </row>
    <row r="961" spans="1:6" ht="72" customHeight="1">
      <c r="A961" s="1" t="s">
        <v>27</v>
      </c>
      <c r="B961" s="1">
        <v>307</v>
      </c>
      <c r="C961" s="1" t="s">
        <v>992</v>
      </c>
      <c r="D961">
        <f>IMAGE("https://raw.githubusercontent.com/stautonico/pokemon-home-pokedex/main/sprites/meditite-f.png", 2)</f>
        <v>0</v>
      </c>
      <c r="E961" s="29" t="s">
        <v>21</v>
      </c>
      <c r="F961" s="5"/>
    </row>
    <row r="962" spans="1:6" ht="72" customHeight="1">
      <c r="A962" s="1" t="s">
        <v>27</v>
      </c>
      <c r="B962" s="1">
        <v>308</v>
      </c>
      <c r="C962" s="1" t="s">
        <v>993</v>
      </c>
      <c r="D962">
        <f>IMAGE("https://raw.githubusercontent.com/stautonico/pokemon-home-pokedex/main/sprites/medicham-f.png", 2)</f>
        <v>0</v>
      </c>
      <c r="E962" s="29" t="s">
        <v>21</v>
      </c>
      <c r="F962" s="5"/>
    </row>
    <row r="963" spans="1:6" ht="72" customHeight="1">
      <c r="A963" s="1" t="s">
        <v>27</v>
      </c>
      <c r="B963" s="1">
        <v>315</v>
      </c>
      <c r="C963" s="1" t="s">
        <v>994</v>
      </c>
      <c r="D963">
        <f>IMAGE("https://raw.githubusercontent.com/stautonico/pokemon-home-pokedex/main/sprites/roselia-f.png", 2)</f>
        <v>0</v>
      </c>
      <c r="E963" s="4" t="s">
        <v>13</v>
      </c>
      <c r="F963" s="5"/>
    </row>
    <row r="964" spans="1:6" ht="72" customHeight="1">
      <c r="A964" s="1" t="s">
        <v>27</v>
      </c>
      <c r="B964" s="1">
        <v>316</v>
      </c>
      <c r="C964" s="1" t="s">
        <v>995</v>
      </c>
      <c r="D964">
        <f>IMAGE("https://raw.githubusercontent.com/stautonico/pokemon-home-pokedex/main/sprites/gulpin-f.png", 2)</f>
        <v>0</v>
      </c>
      <c r="E964" s="29" t="s">
        <v>21</v>
      </c>
      <c r="F964" s="5"/>
    </row>
    <row r="965" spans="1:6" ht="72" customHeight="1">
      <c r="A965" s="1" t="s">
        <v>27</v>
      </c>
      <c r="B965" s="1">
        <v>317</v>
      </c>
      <c r="C965" s="1" t="s">
        <v>996</v>
      </c>
      <c r="D965">
        <f>IMAGE("https://raw.githubusercontent.com/stautonico/pokemon-home-pokedex/main/sprites/swalot-f.png", 2)</f>
        <v>0</v>
      </c>
      <c r="E965" s="29" t="s">
        <v>21</v>
      </c>
      <c r="F965" s="5"/>
    </row>
    <row r="966" spans="1:6" ht="72" customHeight="1">
      <c r="A966" s="1" t="s">
        <v>27</v>
      </c>
      <c r="B966" s="1">
        <v>322</v>
      </c>
      <c r="C966" s="1" t="s">
        <v>997</v>
      </c>
      <c r="D966">
        <f>IMAGE("https://raw.githubusercontent.com/stautonico/pokemon-home-pokedex/main/sprites/numel-f.png", 2)</f>
        <v>0</v>
      </c>
      <c r="E966" s="29" t="s">
        <v>21</v>
      </c>
      <c r="F966" s="5"/>
    </row>
    <row r="967" spans="1:6" ht="72" customHeight="1">
      <c r="A967" s="1" t="s">
        <v>27</v>
      </c>
      <c r="B967" s="1">
        <v>323</v>
      </c>
      <c r="C967" s="1" t="s">
        <v>998</v>
      </c>
      <c r="D967">
        <f>IMAGE("https://raw.githubusercontent.com/stautonico/pokemon-home-pokedex/main/sprites/camerupt-f.png", 2)</f>
        <v>0</v>
      </c>
      <c r="E967" s="29" t="s">
        <v>21</v>
      </c>
      <c r="F967" s="5"/>
    </row>
    <row r="968" spans="1:6" ht="72" customHeight="1">
      <c r="A968" s="1" t="s">
        <v>27</v>
      </c>
      <c r="B968" s="1">
        <v>332</v>
      </c>
      <c r="C968" s="1" t="s">
        <v>999</v>
      </c>
      <c r="D968">
        <f>IMAGE("https://raw.githubusercontent.com/stautonico/pokemon-home-pokedex/main/sprites/cacturne-f.png", 2)</f>
        <v>0</v>
      </c>
      <c r="E968" s="29" t="s">
        <v>21</v>
      </c>
      <c r="F968" s="5"/>
    </row>
    <row r="969" spans="1:6" ht="72" customHeight="1">
      <c r="A969" s="1" t="s">
        <v>27</v>
      </c>
      <c r="B969" s="1">
        <v>350</v>
      </c>
      <c r="C969" s="1" t="s">
        <v>1000</v>
      </c>
      <c r="D969">
        <f>IMAGE("https://raw.githubusercontent.com/stautonico/pokemon-home-pokedex/main/sprites/milotic-f.png", 2)</f>
        <v>0</v>
      </c>
      <c r="E969" s="4" t="s">
        <v>13</v>
      </c>
      <c r="F969" s="5"/>
    </row>
    <row r="970" spans="1:6" ht="72" customHeight="1">
      <c r="A970" s="1" t="s">
        <v>27</v>
      </c>
      <c r="B970" s="1">
        <v>369</v>
      </c>
      <c r="C970" s="1" t="s">
        <v>1001</v>
      </c>
      <c r="D970">
        <f>IMAGE("https://raw.githubusercontent.com/stautonico/pokemon-home-pokedex/main/sprites/relicanth-f.png", 2)</f>
        <v>0</v>
      </c>
      <c r="E970" s="29" t="s">
        <v>21</v>
      </c>
      <c r="F970" s="5"/>
    </row>
    <row r="971" spans="1:6" ht="72" customHeight="1">
      <c r="A971" s="1" t="s">
        <v>27</v>
      </c>
      <c r="B971" s="1">
        <v>396</v>
      </c>
      <c r="C971" s="1" t="s">
        <v>1002</v>
      </c>
      <c r="D971">
        <f>IMAGE("https://raw.githubusercontent.com/stautonico/pokemon-home-pokedex/main/sprites/starly-f.png", 2)</f>
        <v>0</v>
      </c>
      <c r="E971" s="24" t="s">
        <v>16</v>
      </c>
      <c r="F971" s="5"/>
    </row>
    <row r="972" spans="1:6" ht="72" customHeight="1">
      <c r="A972" s="1" t="s">
        <v>27</v>
      </c>
      <c r="B972" s="1">
        <v>397</v>
      </c>
      <c r="C972" s="1" t="s">
        <v>1003</v>
      </c>
      <c r="D972">
        <f>IMAGE("https://raw.githubusercontent.com/stautonico/pokemon-home-pokedex/main/sprites/staravia-f.png", 2)</f>
        <v>0</v>
      </c>
      <c r="E972" s="24" t="s">
        <v>16</v>
      </c>
      <c r="F972" s="5"/>
    </row>
    <row r="973" spans="1:6" ht="72" customHeight="1">
      <c r="A973" s="1" t="s">
        <v>27</v>
      </c>
      <c r="B973" s="1">
        <v>398</v>
      </c>
      <c r="C973" s="1" t="s">
        <v>1004</v>
      </c>
      <c r="D973">
        <f>IMAGE("https://raw.githubusercontent.com/stautonico/pokemon-home-pokedex/main/sprites/staraptor-f.png", 2)</f>
        <v>0</v>
      </c>
      <c r="E973" s="24" t="s">
        <v>16</v>
      </c>
      <c r="F973" s="5"/>
    </row>
    <row r="974" spans="1:6" ht="72" customHeight="1">
      <c r="A974" s="1" t="s">
        <v>27</v>
      </c>
      <c r="B974" s="1">
        <v>399</v>
      </c>
      <c r="C974" s="1" t="s">
        <v>1005</v>
      </c>
      <c r="D974">
        <f>IMAGE("https://raw.githubusercontent.com/stautonico/pokemon-home-pokedex/main/sprites/bidoof-f.png", 2)</f>
        <v>0</v>
      </c>
      <c r="E974" s="24" t="s">
        <v>16</v>
      </c>
      <c r="F974" s="5"/>
    </row>
    <row r="975" spans="1:6" ht="72" customHeight="1">
      <c r="A975" s="1" t="s">
        <v>27</v>
      </c>
      <c r="B975" s="1">
        <v>400</v>
      </c>
      <c r="C975" s="1" t="s">
        <v>1006</v>
      </c>
      <c r="D975">
        <f>IMAGE("https://raw.githubusercontent.com/stautonico/pokemon-home-pokedex/main/sprites/bibarel-f.png", 2)</f>
        <v>0</v>
      </c>
      <c r="E975" s="24" t="s">
        <v>16</v>
      </c>
      <c r="F975" s="5"/>
    </row>
    <row r="976" spans="1:6" ht="72" customHeight="1">
      <c r="A976" s="1" t="s">
        <v>27</v>
      </c>
      <c r="B976" s="1">
        <v>401</v>
      </c>
      <c r="C976" s="1" t="s">
        <v>1007</v>
      </c>
      <c r="D976">
        <f>IMAGE("https://raw.githubusercontent.com/stautonico/pokemon-home-pokedex/main/sprites/kricketot-f.png", 2)</f>
        <v>0</v>
      </c>
      <c r="E976" s="33" t="s">
        <v>22</v>
      </c>
      <c r="F976" s="5"/>
    </row>
    <row r="977" spans="1:6" ht="72" customHeight="1">
      <c r="A977" s="1" t="s">
        <v>27</v>
      </c>
      <c r="B977" s="1">
        <v>402</v>
      </c>
      <c r="C977" s="1" t="s">
        <v>1008</v>
      </c>
      <c r="D977">
        <f>IMAGE("https://raw.githubusercontent.com/stautonico/pokemon-home-pokedex/main/sprites/kricketune-f.png", 2)</f>
        <v>0</v>
      </c>
      <c r="E977" s="33" t="s">
        <v>22</v>
      </c>
      <c r="F977" s="5"/>
    </row>
    <row r="978" spans="1:6" ht="72" customHeight="1">
      <c r="A978" s="1" t="s">
        <v>27</v>
      </c>
      <c r="B978" s="1">
        <v>403</v>
      </c>
      <c r="C978" s="1" t="s">
        <v>1009</v>
      </c>
      <c r="D978">
        <f>IMAGE("https://raw.githubusercontent.com/stautonico/pokemon-home-pokedex/main/sprites/shinx-f.png", 2)</f>
        <v>0</v>
      </c>
      <c r="E978" s="3" t="s">
        <v>12</v>
      </c>
      <c r="F978" s="33" t="s">
        <v>22</v>
      </c>
    </row>
    <row r="979" spans="1:6" ht="72" customHeight="1">
      <c r="A979" s="1" t="s">
        <v>27</v>
      </c>
      <c r="B979" s="1">
        <v>404</v>
      </c>
      <c r="C979" s="1" t="s">
        <v>1010</v>
      </c>
      <c r="D979">
        <f>IMAGE("https://raw.githubusercontent.com/stautonico/pokemon-home-pokedex/main/sprites/luxio-f.png", 2)</f>
        <v>0</v>
      </c>
      <c r="E979" s="3" t="s">
        <v>12</v>
      </c>
      <c r="F979" s="33" t="s">
        <v>22</v>
      </c>
    </row>
    <row r="980" spans="1:6" ht="72" customHeight="1">
      <c r="A980" s="1" t="s">
        <v>27</v>
      </c>
      <c r="B980" s="1">
        <v>405</v>
      </c>
      <c r="C980" s="1" t="s">
        <v>1011</v>
      </c>
      <c r="D980">
        <f>IMAGE("https://raw.githubusercontent.com/stautonico/pokemon-home-pokedex/main/sprites/luxray-f.png", 2)</f>
        <v>0</v>
      </c>
      <c r="E980" s="3" t="s">
        <v>12</v>
      </c>
      <c r="F980" s="33" t="s">
        <v>22</v>
      </c>
    </row>
    <row r="981" spans="1:6" ht="72" customHeight="1">
      <c r="A981" s="1" t="s">
        <v>27</v>
      </c>
      <c r="B981" s="1">
        <v>407</v>
      </c>
      <c r="C981" s="1" t="s">
        <v>1012</v>
      </c>
      <c r="D981">
        <f>IMAGE("https://raw.githubusercontent.com/stautonico/pokemon-home-pokedex/main/sprites/roserade-f.png", 2)</f>
        <v>0</v>
      </c>
      <c r="E981" s="4" t="s">
        <v>13</v>
      </c>
      <c r="F981" s="5"/>
    </row>
    <row r="982" spans="1:6" ht="72" customHeight="1">
      <c r="A982" s="1" t="s">
        <v>27</v>
      </c>
      <c r="B982" s="1">
        <v>415</v>
      </c>
      <c r="C982" s="1" t="s">
        <v>1013</v>
      </c>
      <c r="D982">
        <f>IMAGE("https://raw.githubusercontent.com/stautonico/pokemon-home-pokedex/main/sprites/combee-f.png", 2)</f>
        <v>0</v>
      </c>
      <c r="E982" s="4" t="s">
        <v>13</v>
      </c>
      <c r="F982" s="5"/>
    </row>
    <row r="983" spans="1:6" ht="72" customHeight="1">
      <c r="A983" s="1" t="s">
        <v>27</v>
      </c>
      <c r="B983" s="1">
        <v>417</v>
      </c>
      <c r="C983" s="1" t="s">
        <v>1014</v>
      </c>
      <c r="D983">
        <f>IMAGE("https://raw.githubusercontent.com/stautonico/pokemon-home-pokedex/main/sprites/pachirisu-f.png", 2)</f>
        <v>0</v>
      </c>
      <c r="E983" s="24" t="s">
        <v>16</v>
      </c>
      <c r="F983" s="5"/>
    </row>
    <row r="984" spans="1:6" ht="72" customHeight="1">
      <c r="A984" s="1" t="s">
        <v>27</v>
      </c>
      <c r="B984" s="1">
        <v>418</v>
      </c>
      <c r="C984" s="1" t="s">
        <v>1015</v>
      </c>
      <c r="D984">
        <f>IMAGE("https://raw.githubusercontent.com/stautonico/pokemon-home-pokedex/main/sprites/buizel-f.png", 2)</f>
        <v>0</v>
      </c>
      <c r="E984" s="24" t="s">
        <v>16</v>
      </c>
      <c r="F984" s="5"/>
    </row>
    <row r="985" spans="1:6" ht="72" customHeight="1">
      <c r="A985" s="1" t="s">
        <v>27</v>
      </c>
      <c r="B985" s="1">
        <v>419</v>
      </c>
      <c r="C985" s="1" t="s">
        <v>1016</v>
      </c>
      <c r="D985">
        <f>IMAGE("https://raw.githubusercontent.com/stautonico/pokemon-home-pokedex/main/sprites/floatzel-f.png", 2)</f>
        <v>0</v>
      </c>
      <c r="E985" s="24" t="s">
        <v>16</v>
      </c>
      <c r="F985" s="5"/>
    </row>
    <row r="986" spans="1:6" ht="72" customHeight="1">
      <c r="A986" s="1" t="s">
        <v>27</v>
      </c>
      <c r="B986" s="1">
        <v>424</v>
      </c>
      <c r="C986" s="1" t="s">
        <v>1017</v>
      </c>
      <c r="D986">
        <f>IMAGE("https://raw.githubusercontent.com/stautonico/pokemon-home-pokedex/main/sprites/ambipom-f.png", 2)</f>
        <v>0</v>
      </c>
      <c r="E986" s="29" t="s">
        <v>21</v>
      </c>
      <c r="F986" s="5"/>
    </row>
    <row r="987" spans="1:6" ht="72" customHeight="1">
      <c r="A987" s="1" t="s">
        <v>27</v>
      </c>
      <c r="B987" s="1">
        <v>443</v>
      </c>
      <c r="C987" s="1" t="s">
        <v>1018</v>
      </c>
      <c r="D987">
        <f>IMAGE("https://raw.githubusercontent.com/stautonico/pokemon-home-pokedex/main/sprites/gible-f.png", 2)</f>
        <v>0</v>
      </c>
      <c r="E987" s="24" t="s">
        <v>16</v>
      </c>
      <c r="F987" s="5"/>
    </row>
    <row r="988" spans="1:6" ht="72" customHeight="1">
      <c r="A988" s="1" t="s">
        <v>27</v>
      </c>
      <c r="B988" s="1">
        <v>444</v>
      </c>
      <c r="C988" s="1" t="s">
        <v>1019</v>
      </c>
      <c r="D988">
        <f>IMAGE("https://raw.githubusercontent.com/stautonico/pokemon-home-pokedex/main/sprites/gabite-f.png", 2)</f>
        <v>0</v>
      </c>
      <c r="E988" s="24" t="s">
        <v>16</v>
      </c>
      <c r="F988" s="5"/>
    </row>
    <row r="989" spans="1:6" ht="72" customHeight="1">
      <c r="A989" s="1" t="s">
        <v>27</v>
      </c>
      <c r="B989" s="1">
        <v>445</v>
      </c>
      <c r="C989" s="1" t="s">
        <v>1020</v>
      </c>
      <c r="D989">
        <f>IMAGE("https://raw.githubusercontent.com/stautonico/pokemon-home-pokedex/main/sprites/garchomp-f.png", 2)</f>
        <v>0</v>
      </c>
      <c r="E989" s="24" t="s">
        <v>16</v>
      </c>
      <c r="F989" s="5"/>
    </row>
    <row r="990" spans="1:6" ht="72" customHeight="1">
      <c r="A990" s="1" t="s">
        <v>27</v>
      </c>
      <c r="B990" s="1">
        <v>449</v>
      </c>
      <c r="C990" s="1" t="s">
        <v>1021</v>
      </c>
      <c r="D990">
        <f>IMAGE("https://raw.githubusercontent.com/stautonico/pokemon-home-pokedex/main/sprites/hippopotas-f.png", 2)</f>
        <v>0</v>
      </c>
      <c r="E990" s="4" t="s">
        <v>13</v>
      </c>
      <c r="F990" s="5"/>
    </row>
    <row r="991" spans="1:6" ht="72" customHeight="1">
      <c r="A991" s="1" t="s">
        <v>27</v>
      </c>
      <c r="B991" s="1">
        <v>450</v>
      </c>
      <c r="C991" s="1" t="s">
        <v>1022</v>
      </c>
      <c r="D991">
        <f>IMAGE("https://raw.githubusercontent.com/stautonico/pokemon-home-pokedex/main/sprites/hippowdon-f.png", 2)</f>
        <v>0</v>
      </c>
      <c r="E991" s="4" t="s">
        <v>13</v>
      </c>
      <c r="F991" s="5"/>
    </row>
    <row r="992" spans="1:6" ht="72" customHeight="1">
      <c r="A992" s="1" t="s">
        <v>27</v>
      </c>
      <c r="B992" s="1">
        <v>453</v>
      </c>
      <c r="C992" s="1" t="s">
        <v>1023</v>
      </c>
      <c r="D992">
        <f>IMAGE("https://raw.githubusercontent.com/stautonico/pokemon-home-pokedex/main/sprites/croagunk-f.png", 2)</f>
        <v>0</v>
      </c>
      <c r="E992" s="28" t="s">
        <v>15</v>
      </c>
      <c r="F992" s="24" t="s">
        <v>16</v>
      </c>
    </row>
    <row r="993" spans="1:6" ht="72" customHeight="1">
      <c r="A993" s="1" t="s">
        <v>27</v>
      </c>
      <c r="B993" s="1">
        <v>454</v>
      </c>
      <c r="C993" s="1" t="s">
        <v>1024</v>
      </c>
      <c r="D993">
        <f>IMAGE("https://raw.githubusercontent.com/stautonico/pokemon-home-pokedex/main/sprites/toxicroak-f.png", 2)</f>
        <v>0</v>
      </c>
      <c r="E993" s="28" t="s">
        <v>15</v>
      </c>
      <c r="F993" s="24" t="s">
        <v>16</v>
      </c>
    </row>
    <row r="994" spans="1:6" ht="72" customHeight="1">
      <c r="A994" s="1" t="s">
        <v>27</v>
      </c>
      <c r="B994" s="1">
        <v>456</v>
      </c>
      <c r="C994" s="1" t="s">
        <v>1025</v>
      </c>
      <c r="D994">
        <f>IMAGE("https://raw.githubusercontent.com/stautonico/pokemon-home-pokedex/main/sprites/finneon-f.png", 2)</f>
        <v>0</v>
      </c>
      <c r="E994" s="27" t="s">
        <v>17</v>
      </c>
      <c r="F994" s="5"/>
    </row>
    <row r="995" spans="1:6" ht="72" customHeight="1">
      <c r="A995" s="1" t="s">
        <v>27</v>
      </c>
      <c r="B995" s="1">
        <v>457</v>
      </c>
      <c r="C995" s="1" t="s">
        <v>1026</v>
      </c>
      <c r="D995">
        <f>IMAGE("https://raw.githubusercontent.com/stautonico/pokemon-home-pokedex/main/sprites/lumineon-f.png", 2)</f>
        <v>0</v>
      </c>
      <c r="E995" s="27" t="s">
        <v>17</v>
      </c>
      <c r="F995" s="5"/>
    </row>
    <row r="996" spans="1:6" ht="72" customHeight="1">
      <c r="A996" s="1" t="s">
        <v>27</v>
      </c>
      <c r="B996" s="1">
        <v>459</v>
      </c>
      <c r="C996" s="1" t="s">
        <v>1027</v>
      </c>
      <c r="D996">
        <f>IMAGE("https://raw.githubusercontent.com/stautonico/pokemon-home-pokedex/main/sprites/snover-f.png", 2)</f>
        <v>0</v>
      </c>
      <c r="E996" s="4" t="s">
        <v>13</v>
      </c>
      <c r="F996" s="5"/>
    </row>
    <row r="997" spans="1:6" ht="72" customHeight="1">
      <c r="A997" s="1" t="s">
        <v>27</v>
      </c>
      <c r="B997" s="1">
        <v>460</v>
      </c>
      <c r="C997" s="1" t="s">
        <v>1028</v>
      </c>
      <c r="D997">
        <f>IMAGE("https://raw.githubusercontent.com/stautonico/pokemon-home-pokedex/main/sprites/abomasnow-f.png", 2)</f>
        <v>0</v>
      </c>
      <c r="E997" s="4" t="s">
        <v>13</v>
      </c>
      <c r="F997" s="5"/>
    </row>
    <row r="998" spans="1:6" ht="72" customHeight="1">
      <c r="A998" s="1" t="s">
        <v>27</v>
      </c>
      <c r="B998" s="1">
        <v>461</v>
      </c>
      <c r="C998" s="1" t="s">
        <v>1029</v>
      </c>
      <c r="D998">
        <f>IMAGE("https://raw.githubusercontent.com/stautonico/pokemon-home-pokedex/main/sprites/weavile-f.png", 2)</f>
        <v>0</v>
      </c>
      <c r="E998" s="4" t="s">
        <v>13</v>
      </c>
      <c r="F998" s="5"/>
    </row>
    <row r="999" spans="1:6" ht="72" customHeight="1">
      <c r="A999" s="1" t="s">
        <v>27</v>
      </c>
      <c r="B999" s="1">
        <v>464</v>
      </c>
      <c r="C999" s="1" t="s">
        <v>1030</v>
      </c>
      <c r="D999">
        <f>IMAGE("https://raw.githubusercontent.com/stautonico/pokemon-home-pokedex/main/sprites/rhyperior-f.png", 2)</f>
        <v>0</v>
      </c>
      <c r="E999" s="4" t="s">
        <v>13</v>
      </c>
      <c r="F999" s="5"/>
    </row>
    <row r="1000" spans="1:6" ht="72" customHeight="1">
      <c r="A1000" s="1" t="s">
        <v>27</v>
      </c>
      <c r="B1000" s="1">
        <v>465</v>
      </c>
      <c r="C1000" s="1" t="s">
        <v>1031</v>
      </c>
      <c r="D1000">
        <f>IMAGE("https://raw.githubusercontent.com/stautonico/pokemon-home-pokedex/main/sprites/tangrowth-f.png", 2)</f>
        <v>0</v>
      </c>
      <c r="E1000" s="3" t="s">
        <v>12</v>
      </c>
      <c r="F1000" s="29" t="s">
        <v>21</v>
      </c>
    </row>
    <row r="1001" spans="1:6" ht="72" customHeight="1">
      <c r="A1001" s="1" t="s">
        <v>27</v>
      </c>
      <c r="B1001" s="1">
        <v>473</v>
      </c>
      <c r="C1001" s="1" t="s">
        <v>1032</v>
      </c>
      <c r="D1001">
        <f>IMAGE("https://raw.githubusercontent.com/stautonico/pokemon-home-pokedex/main/sprites/mamoswine-f.png", 2)</f>
        <v>0</v>
      </c>
      <c r="E1001" s="4" t="s">
        <v>13</v>
      </c>
      <c r="F1001" s="5"/>
    </row>
    <row r="1002" spans="1:6" ht="72" customHeight="1">
      <c r="A1002" s="1" t="s">
        <v>27</v>
      </c>
      <c r="B1002" s="1">
        <v>521</v>
      </c>
      <c r="C1002" s="1" t="s">
        <v>1033</v>
      </c>
      <c r="D1002">
        <f>IMAGE("https://raw.githubusercontent.com/stautonico/pokemon-home-pokedex/main/sprites/unfezant-f.png", 2)</f>
        <v>0</v>
      </c>
      <c r="E1002" s="4" t="s">
        <v>13</v>
      </c>
      <c r="F1002" s="5"/>
    </row>
    <row r="1003" spans="1:6" ht="72" customHeight="1">
      <c r="A1003" s="1" t="s">
        <v>27</v>
      </c>
      <c r="B1003" s="1">
        <v>592</v>
      </c>
      <c r="C1003" s="1" t="s">
        <v>1034</v>
      </c>
      <c r="D1003">
        <f>IMAGE("https://raw.githubusercontent.com/stautonico/pokemon-home-pokedex/main/sprites/frillish-f.png", 2)</f>
        <v>0</v>
      </c>
      <c r="E1003" s="4" t="s">
        <v>13</v>
      </c>
      <c r="F1003" s="5"/>
    </row>
    <row r="1004" spans="1:6" ht="72" customHeight="1">
      <c r="A1004" s="1" t="s">
        <v>27</v>
      </c>
      <c r="B1004" s="1">
        <v>593</v>
      </c>
      <c r="C1004" s="1" t="s">
        <v>1035</v>
      </c>
      <c r="D1004">
        <f>IMAGE("https://raw.githubusercontent.com/stautonico/pokemon-home-pokedex/main/sprites/jellicent-f.png", 2)</f>
        <v>0</v>
      </c>
      <c r="E1004" s="4" t="s">
        <v>13</v>
      </c>
      <c r="F1004" s="5"/>
    </row>
    <row r="1005" spans="1:6" ht="72" customHeight="1">
      <c r="A1005" s="1" t="s">
        <v>27</v>
      </c>
      <c r="B1005" s="1">
        <v>668</v>
      </c>
      <c r="C1005" s="1" t="s">
        <v>1036</v>
      </c>
      <c r="D1005">
        <f>IMAGE("https://raw.githubusercontent.com/stautonico/pokemon-home-pokedex/main/sprites/pyroar-f.png", 2)</f>
        <v>0</v>
      </c>
      <c r="E1005" s="24" t="s">
        <v>16</v>
      </c>
      <c r="F1005" s="5"/>
    </row>
    <row r="1006" spans="1:6" ht="72" customHeight="1">
      <c r="A1006" s="1" t="s">
        <v>27</v>
      </c>
      <c r="B1006" s="1">
        <v>678</v>
      </c>
      <c r="C1006" s="1" t="s">
        <v>1037</v>
      </c>
      <c r="D1006">
        <f>IMAGE("https://raw.githubusercontent.com/stautonico/pokemon-home-pokedex/main/sprites/meowstic-f.png", 2)</f>
        <v>0</v>
      </c>
      <c r="E1006" s="4" t="s">
        <v>13</v>
      </c>
      <c r="F1006" s="5"/>
    </row>
    <row r="1007" spans="1:6" ht="72" customHeight="1">
      <c r="A1007" s="1" t="s">
        <v>27</v>
      </c>
      <c r="B1007" s="1">
        <v>876</v>
      </c>
      <c r="C1007" s="1" t="s">
        <v>1038</v>
      </c>
      <c r="D1007">
        <f>IMAGE("https://raw.githubusercontent.com/stautonico/pokemon-home-pokedex/main/sprites/indeedee-f.png", 2)</f>
        <v>0</v>
      </c>
      <c r="E1007" s="4" t="s">
        <v>13</v>
      </c>
      <c r="F1007" s="5"/>
    </row>
    <row r="1008" spans="1:6" ht="72" customHeight="1">
      <c r="A1008" s="1" t="s">
        <v>27</v>
      </c>
      <c r="B1008" s="1">
        <v>902</v>
      </c>
      <c r="C1008" s="1" t="s">
        <v>1039</v>
      </c>
      <c r="D1008">
        <f>IMAGE("https://raw.githubusercontent.com/stautonico/pokemon-home-pokedex/main/sprites/basculegion-f.png", 2)</f>
        <v>0</v>
      </c>
      <c r="E1008" s="38" t="s">
        <v>26</v>
      </c>
      <c r="F1008" s="5"/>
    </row>
    <row r="1009" spans="1:6" ht="72" customHeight="1">
      <c r="A1009" s="1" t="s">
        <v>27</v>
      </c>
      <c r="B1009" s="1">
        <v>10094</v>
      </c>
      <c r="C1009" s="1" t="s">
        <v>1040</v>
      </c>
      <c r="D1009">
        <f>IMAGE("https://raw.githubusercontent.com/stautonico/pokemon-home-pokedex/main/sprites/pikachu-original.png", 2)</f>
        <v>0</v>
      </c>
      <c r="E1009" s="5" t="s">
        <v>806</v>
      </c>
      <c r="F1009" s="5" t="s">
        <v>806</v>
      </c>
    </row>
    <row r="1010" spans="1:6" ht="72" customHeight="1">
      <c r="A1010" s="1" t="s">
        <v>27</v>
      </c>
      <c r="B1010" s="1">
        <v>10095</v>
      </c>
      <c r="C1010" s="1" t="s">
        <v>1041</v>
      </c>
      <c r="D1010">
        <f>IMAGE("https://raw.githubusercontent.com/stautonico/pokemon-home-pokedex/main/sprites/pikachu-hoenn.png", 2)</f>
        <v>0</v>
      </c>
      <c r="E1010" s="5" t="s">
        <v>806</v>
      </c>
      <c r="F1010" s="5" t="s">
        <v>806</v>
      </c>
    </row>
    <row r="1011" spans="1:6" ht="72" customHeight="1">
      <c r="A1011" s="1" t="s">
        <v>27</v>
      </c>
      <c r="B1011" s="1">
        <v>10096</v>
      </c>
      <c r="C1011" s="1" t="s">
        <v>1042</v>
      </c>
      <c r="D1011">
        <f>IMAGE("https://raw.githubusercontent.com/stautonico/pokemon-home-pokedex/main/sprites/pikachu-sinnoh.png", 2)</f>
        <v>0</v>
      </c>
      <c r="E1011" s="5" t="s">
        <v>806</v>
      </c>
      <c r="F1011" s="5" t="s">
        <v>806</v>
      </c>
    </row>
    <row r="1012" spans="1:6" ht="72" customHeight="1">
      <c r="A1012" s="1" t="s">
        <v>27</v>
      </c>
      <c r="B1012" s="1">
        <v>10097</v>
      </c>
      <c r="C1012" s="1" t="s">
        <v>1043</v>
      </c>
      <c r="D1012">
        <f>IMAGE("https://raw.githubusercontent.com/stautonico/pokemon-home-pokedex/main/sprites/pikachu-unova.png", 2)</f>
        <v>0</v>
      </c>
      <c r="E1012" s="5" t="s">
        <v>806</v>
      </c>
      <c r="F1012" s="5" t="s">
        <v>806</v>
      </c>
    </row>
    <row r="1013" spans="1:6" ht="72" customHeight="1">
      <c r="A1013" s="1" t="s">
        <v>27</v>
      </c>
      <c r="B1013" s="1">
        <v>10098</v>
      </c>
      <c r="C1013" s="1" t="s">
        <v>1044</v>
      </c>
      <c r="D1013">
        <f>IMAGE("https://raw.githubusercontent.com/stautonico/pokemon-home-pokedex/main/sprites/pikachu-kalos.png", 2)</f>
        <v>0</v>
      </c>
      <c r="E1013" s="5" t="s">
        <v>806</v>
      </c>
      <c r="F1013" s="5" t="s">
        <v>806</v>
      </c>
    </row>
    <row r="1014" spans="1:6" ht="72" customHeight="1">
      <c r="A1014" s="1" t="s">
        <v>27</v>
      </c>
      <c r="B1014" s="1">
        <v>10099</v>
      </c>
      <c r="C1014" s="1" t="s">
        <v>1045</v>
      </c>
      <c r="D1014">
        <f>IMAGE("https://raw.githubusercontent.com/stautonico/pokemon-home-pokedex/main/sprites/pikachu-alola.png", 2)</f>
        <v>0</v>
      </c>
      <c r="E1014" s="5" t="s">
        <v>806</v>
      </c>
      <c r="F1014" s="5" t="s">
        <v>806</v>
      </c>
    </row>
    <row r="1015" spans="1:6" ht="72" customHeight="1">
      <c r="A1015" s="1" t="s">
        <v>27</v>
      </c>
      <c r="B1015" s="1">
        <v>10148</v>
      </c>
      <c r="C1015" s="1" t="s">
        <v>1046</v>
      </c>
      <c r="D1015">
        <f>IMAGE("https://raw.githubusercontent.com/stautonico/pokemon-home-pokedex/main/sprites/pikachu-partner.png", 2)</f>
        <v>0</v>
      </c>
      <c r="E1015" s="5" t="s">
        <v>806</v>
      </c>
      <c r="F1015" s="5" t="s">
        <v>806</v>
      </c>
    </row>
    <row r="1016" spans="1:6" ht="72" customHeight="1">
      <c r="A1016" s="1" t="s">
        <v>27</v>
      </c>
      <c r="B1016" s="1">
        <v>10160</v>
      </c>
      <c r="C1016" s="1" t="s">
        <v>1047</v>
      </c>
      <c r="D1016">
        <f>IMAGE("https://raw.githubusercontent.com/stautonico/pokemon-home-pokedex/main/sprites/pikachu-world.png", 2)</f>
        <v>0</v>
      </c>
      <c r="E1016" s="5" t="s">
        <v>806</v>
      </c>
      <c r="F1016" s="5" t="s">
        <v>806</v>
      </c>
    </row>
    <row r="1017" spans="1:6" ht="72" customHeight="1">
      <c r="A1017" s="1" t="s">
        <v>27</v>
      </c>
      <c r="B1017" s="1">
        <v>201</v>
      </c>
      <c r="C1017" s="1" t="s">
        <v>1048</v>
      </c>
      <c r="D1017">
        <f>IMAGE("https://raw.githubusercontent.com/stautonico/pokemon-home-pokedex/main/sprites/unown-b.png", 2)</f>
        <v>0</v>
      </c>
      <c r="E1017" s="31" t="s">
        <v>18</v>
      </c>
      <c r="F1017" s="5"/>
    </row>
    <row r="1018" spans="1:6" ht="72" customHeight="1">
      <c r="A1018" s="1" t="s">
        <v>27</v>
      </c>
      <c r="B1018" s="1">
        <v>201</v>
      </c>
      <c r="C1018" s="1" t="s">
        <v>1049</v>
      </c>
      <c r="D1018">
        <f>IMAGE("https://raw.githubusercontent.com/stautonico/pokemon-home-pokedex/main/sprites/unown-c.png", 2)</f>
        <v>0</v>
      </c>
      <c r="E1018" s="31" t="s">
        <v>18</v>
      </c>
      <c r="F1018" s="5"/>
    </row>
    <row r="1019" spans="1:6" ht="72" customHeight="1">
      <c r="A1019" s="1" t="s">
        <v>27</v>
      </c>
      <c r="B1019" s="1">
        <v>201</v>
      </c>
      <c r="C1019" s="1" t="s">
        <v>1050</v>
      </c>
      <c r="D1019">
        <f>IMAGE("https://raw.githubusercontent.com/stautonico/pokemon-home-pokedex/main/sprites/unown-d.png", 2)</f>
        <v>0</v>
      </c>
      <c r="E1019" s="31" t="s">
        <v>18</v>
      </c>
      <c r="F1019" s="5"/>
    </row>
    <row r="1020" spans="1:6" ht="72" customHeight="1">
      <c r="A1020" s="1" t="s">
        <v>27</v>
      </c>
      <c r="B1020" s="1">
        <v>201</v>
      </c>
      <c r="C1020" s="1" t="s">
        <v>1051</v>
      </c>
      <c r="D1020">
        <f>IMAGE("https://raw.githubusercontent.com/stautonico/pokemon-home-pokedex/main/sprites/unown-e.png", 2)</f>
        <v>0</v>
      </c>
      <c r="E1020" s="31" t="s">
        <v>18</v>
      </c>
      <c r="F1020" s="5"/>
    </row>
    <row r="1021" spans="1:6" ht="72" customHeight="1">
      <c r="A1021" s="1" t="s">
        <v>27</v>
      </c>
      <c r="B1021" s="1">
        <v>201</v>
      </c>
      <c r="C1021" s="1" t="s">
        <v>1052</v>
      </c>
      <c r="D1021">
        <f>IMAGE("https://raw.githubusercontent.com/stautonico/pokemon-home-pokedex/main/sprites/unown-f.png", 2)</f>
        <v>0</v>
      </c>
      <c r="E1021" s="31" t="s">
        <v>18</v>
      </c>
      <c r="F1021" s="5"/>
    </row>
    <row r="1022" spans="1:6" ht="72" customHeight="1">
      <c r="A1022" s="1" t="s">
        <v>27</v>
      </c>
      <c r="B1022" s="1">
        <v>201</v>
      </c>
      <c r="C1022" s="1" t="s">
        <v>1053</v>
      </c>
      <c r="D1022">
        <f>IMAGE("https://raw.githubusercontent.com/stautonico/pokemon-home-pokedex/main/sprites/unown-g.png", 2)</f>
        <v>0</v>
      </c>
      <c r="E1022" s="31" t="s">
        <v>18</v>
      </c>
      <c r="F1022" s="5"/>
    </row>
    <row r="1023" spans="1:6" ht="72" customHeight="1">
      <c r="A1023" s="1" t="s">
        <v>27</v>
      </c>
      <c r="B1023" s="1">
        <v>201</v>
      </c>
      <c r="C1023" s="1" t="s">
        <v>1054</v>
      </c>
      <c r="D1023">
        <f>IMAGE("https://raw.githubusercontent.com/stautonico/pokemon-home-pokedex/main/sprites/unown-h.png", 2)</f>
        <v>0</v>
      </c>
      <c r="E1023" s="31" t="s">
        <v>18</v>
      </c>
      <c r="F1023" s="5"/>
    </row>
    <row r="1024" spans="1:6" ht="72" customHeight="1">
      <c r="A1024" s="1" t="s">
        <v>27</v>
      </c>
      <c r="B1024" s="1">
        <v>201</v>
      </c>
      <c r="C1024" s="1" t="s">
        <v>1055</v>
      </c>
      <c r="D1024">
        <f>IMAGE("https://raw.githubusercontent.com/stautonico/pokemon-home-pokedex/main/sprites/unown-i.png", 2)</f>
        <v>0</v>
      </c>
      <c r="E1024" s="31" t="s">
        <v>18</v>
      </c>
      <c r="F1024" s="5"/>
    </row>
    <row r="1025" spans="1:6" ht="72" customHeight="1">
      <c r="A1025" s="1" t="s">
        <v>27</v>
      </c>
      <c r="B1025" s="1">
        <v>201</v>
      </c>
      <c r="C1025" s="1" t="s">
        <v>1056</v>
      </c>
      <c r="D1025">
        <f>IMAGE("https://raw.githubusercontent.com/stautonico/pokemon-home-pokedex/main/sprites/unown-j.png", 2)</f>
        <v>0</v>
      </c>
      <c r="E1025" s="31" t="s">
        <v>18</v>
      </c>
      <c r="F1025" s="5"/>
    </row>
    <row r="1026" spans="1:6" ht="72" customHeight="1">
      <c r="A1026" s="1" t="s">
        <v>27</v>
      </c>
      <c r="B1026" s="1">
        <v>201</v>
      </c>
      <c r="C1026" s="1" t="s">
        <v>1057</v>
      </c>
      <c r="D1026">
        <f>IMAGE("https://raw.githubusercontent.com/stautonico/pokemon-home-pokedex/main/sprites/unown-k.png", 2)</f>
        <v>0</v>
      </c>
      <c r="E1026" s="31" t="s">
        <v>18</v>
      </c>
      <c r="F1026" s="5"/>
    </row>
    <row r="1027" spans="1:6" ht="72" customHeight="1">
      <c r="A1027" s="1" t="s">
        <v>27</v>
      </c>
      <c r="B1027" s="1">
        <v>201</v>
      </c>
      <c r="C1027" s="1" t="s">
        <v>1058</v>
      </c>
      <c r="D1027">
        <f>IMAGE("https://raw.githubusercontent.com/stautonico/pokemon-home-pokedex/main/sprites/unown-l.png", 2)</f>
        <v>0</v>
      </c>
      <c r="E1027" s="31" t="s">
        <v>18</v>
      </c>
      <c r="F1027" s="5"/>
    </row>
    <row r="1028" spans="1:6" ht="72" customHeight="1">
      <c r="A1028" s="1" t="s">
        <v>27</v>
      </c>
      <c r="B1028" s="1">
        <v>201</v>
      </c>
      <c r="C1028" s="1" t="s">
        <v>1059</v>
      </c>
      <c r="D1028">
        <f>IMAGE("https://raw.githubusercontent.com/stautonico/pokemon-home-pokedex/main/sprites/unown-m.png", 2)</f>
        <v>0</v>
      </c>
      <c r="E1028" s="31" t="s">
        <v>18</v>
      </c>
      <c r="F1028" s="5"/>
    </row>
    <row r="1029" spans="1:6" ht="72" customHeight="1">
      <c r="A1029" s="1" t="s">
        <v>27</v>
      </c>
      <c r="B1029" s="1">
        <v>201</v>
      </c>
      <c r="C1029" s="1" t="s">
        <v>1060</v>
      </c>
      <c r="D1029">
        <f>IMAGE("https://raw.githubusercontent.com/stautonico/pokemon-home-pokedex/main/sprites/unown-n.png", 2)</f>
        <v>0</v>
      </c>
      <c r="E1029" s="31" t="s">
        <v>18</v>
      </c>
      <c r="F1029" s="5"/>
    </row>
    <row r="1030" spans="1:6" ht="72" customHeight="1">
      <c r="A1030" s="1" t="s">
        <v>27</v>
      </c>
      <c r="B1030" s="1">
        <v>201</v>
      </c>
      <c r="C1030" s="1" t="s">
        <v>1061</v>
      </c>
      <c r="D1030">
        <f>IMAGE("https://raw.githubusercontent.com/stautonico/pokemon-home-pokedex/main/sprites/unown-o.png", 2)</f>
        <v>0</v>
      </c>
      <c r="E1030" s="31" t="s">
        <v>18</v>
      </c>
      <c r="F1030" s="5"/>
    </row>
    <row r="1031" spans="1:6" ht="72" customHeight="1">
      <c r="A1031" s="1" t="s">
        <v>27</v>
      </c>
      <c r="B1031" s="1">
        <v>201</v>
      </c>
      <c r="C1031" s="1" t="s">
        <v>1062</v>
      </c>
      <c r="D1031">
        <f>IMAGE("https://raw.githubusercontent.com/stautonico/pokemon-home-pokedex/main/sprites/unown-p.png", 2)</f>
        <v>0</v>
      </c>
      <c r="E1031" s="31" t="s">
        <v>18</v>
      </c>
      <c r="F1031" s="5"/>
    </row>
    <row r="1032" spans="1:6" ht="72" customHeight="1">
      <c r="A1032" s="1" t="s">
        <v>27</v>
      </c>
      <c r="B1032" s="1">
        <v>201</v>
      </c>
      <c r="C1032" s="1" t="s">
        <v>1063</v>
      </c>
      <c r="D1032">
        <f>IMAGE("https://raw.githubusercontent.com/stautonico/pokemon-home-pokedex/main/sprites/unown-q.png", 2)</f>
        <v>0</v>
      </c>
      <c r="E1032" s="31" t="s">
        <v>18</v>
      </c>
      <c r="F1032" s="5"/>
    </row>
    <row r="1033" spans="1:6" ht="72" customHeight="1">
      <c r="A1033" s="1" t="s">
        <v>27</v>
      </c>
      <c r="B1033" s="1">
        <v>201</v>
      </c>
      <c r="C1033" s="1" t="s">
        <v>1064</v>
      </c>
      <c r="D1033">
        <f>IMAGE("https://raw.githubusercontent.com/stautonico/pokemon-home-pokedex/main/sprites/unown-r.png", 2)</f>
        <v>0</v>
      </c>
      <c r="E1033" s="31" t="s">
        <v>18</v>
      </c>
      <c r="F1033" s="5"/>
    </row>
    <row r="1034" spans="1:6" ht="72" customHeight="1">
      <c r="A1034" s="1" t="s">
        <v>27</v>
      </c>
      <c r="B1034" s="1">
        <v>201</v>
      </c>
      <c r="C1034" s="1" t="s">
        <v>1065</v>
      </c>
      <c r="D1034">
        <f>IMAGE("https://raw.githubusercontent.com/stautonico/pokemon-home-pokedex/main/sprites/unown-s.png", 2)</f>
        <v>0</v>
      </c>
      <c r="E1034" s="31" t="s">
        <v>18</v>
      </c>
      <c r="F1034" s="5"/>
    </row>
    <row r="1035" spans="1:6" ht="72" customHeight="1">
      <c r="A1035" s="1" t="s">
        <v>27</v>
      </c>
      <c r="B1035" s="1">
        <v>201</v>
      </c>
      <c r="C1035" s="1" t="s">
        <v>1066</v>
      </c>
      <c r="D1035">
        <f>IMAGE("https://raw.githubusercontent.com/stautonico/pokemon-home-pokedex/main/sprites/unown-t.png", 2)</f>
        <v>0</v>
      </c>
      <c r="E1035" s="31" t="s">
        <v>18</v>
      </c>
      <c r="F1035" s="5"/>
    </row>
    <row r="1036" spans="1:6" ht="72" customHeight="1">
      <c r="A1036" s="1" t="s">
        <v>27</v>
      </c>
      <c r="B1036" s="1">
        <v>201</v>
      </c>
      <c r="C1036" s="1" t="s">
        <v>1067</v>
      </c>
      <c r="D1036">
        <f>IMAGE("https://raw.githubusercontent.com/stautonico/pokemon-home-pokedex/main/sprites/unown-u.png", 2)</f>
        <v>0</v>
      </c>
      <c r="E1036" s="31" t="s">
        <v>18</v>
      </c>
      <c r="F1036" s="5"/>
    </row>
    <row r="1037" spans="1:6" ht="72" customHeight="1">
      <c r="A1037" s="1" t="s">
        <v>27</v>
      </c>
      <c r="B1037" s="1">
        <v>201</v>
      </c>
      <c r="C1037" s="1" t="s">
        <v>1068</v>
      </c>
      <c r="D1037">
        <f>IMAGE("https://raw.githubusercontent.com/stautonico/pokemon-home-pokedex/main/sprites/unown-v.png", 2)</f>
        <v>0</v>
      </c>
      <c r="E1037" s="31" t="s">
        <v>18</v>
      </c>
      <c r="F1037" s="5"/>
    </row>
    <row r="1038" spans="1:6" ht="72" customHeight="1">
      <c r="A1038" s="1" t="s">
        <v>27</v>
      </c>
      <c r="B1038" s="1">
        <v>201</v>
      </c>
      <c r="C1038" s="1" t="s">
        <v>1069</v>
      </c>
      <c r="D1038">
        <f>IMAGE("https://raw.githubusercontent.com/stautonico/pokemon-home-pokedex/main/sprites/unown-w.png", 2)</f>
        <v>0</v>
      </c>
      <c r="E1038" s="31" t="s">
        <v>18</v>
      </c>
      <c r="F1038" s="5"/>
    </row>
    <row r="1039" spans="1:6" ht="72" customHeight="1">
      <c r="A1039" s="1" t="s">
        <v>27</v>
      </c>
      <c r="B1039" s="1">
        <v>201</v>
      </c>
      <c r="C1039" s="1" t="s">
        <v>1070</v>
      </c>
      <c r="D1039">
        <f>IMAGE("https://raw.githubusercontent.com/stautonico/pokemon-home-pokedex/main/sprites/unown-x.png", 2)</f>
        <v>0</v>
      </c>
      <c r="E1039" s="31" t="s">
        <v>18</v>
      </c>
      <c r="F1039" s="5"/>
    </row>
    <row r="1040" spans="1:6" ht="72" customHeight="1">
      <c r="A1040" s="1" t="s">
        <v>27</v>
      </c>
      <c r="B1040" s="1">
        <v>201</v>
      </c>
      <c r="C1040" s="1" t="s">
        <v>1071</v>
      </c>
      <c r="D1040">
        <f>IMAGE("https://raw.githubusercontent.com/stautonico/pokemon-home-pokedex/main/sprites/unown-y.png", 2)</f>
        <v>0</v>
      </c>
      <c r="E1040" s="31" t="s">
        <v>18</v>
      </c>
      <c r="F1040" s="5"/>
    </row>
    <row r="1041" spans="1:6" ht="72" customHeight="1">
      <c r="A1041" s="1" t="s">
        <v>27</v>
      </c>
      <c r="B1041" s="1">
        <v>201</v>
      </c>
      <c r="C1041" s="1" t="s">
        <v>1072</v>
      </c>
      <c r="D1041">
        <f>IMAGE("https://raw.githubusercontent.com/stautonico/pokemon-home-pokedex/main/sprites/unown-z.png", 2)</f>
        <v>0</v>
      </c>
      <c r="E1041" s="31" t="s">
        <v>18</v>
      </c>
      <c r="F1041" s="5"/>
    </row>
    <row r="1042" spans="1:6" ht="72" customHeight="1">
      <c r="A1042" s="1" t="s">
        <v>27</v>
      </c>
      <c r="B1042" s="1">
        <v>201</v>
      </c>
      <c r="C1042" s="1" t="s">
        <v>1073</v>
      </c>
      <c r="D1042">
        <f>IMAGE("https://raw.githubusercontent.com/stautonico/pokemon-home-pokedex/main/sprites/unown-exclamation.png", 2)</f>
        <v>0</v>
      </c>
      <c r="E1042" s="5" t="s">
        <v>806</v>
      </c>
      <c r="F1042" s="5" t="s">
        <v>806</v>
      </c>
    </row>
    <row r="1043" spans="1:6" ht="72" customHeight="1">
      <c r="A1043" s="1" t="s">
        <v>27</v>
      </c>
      <c r="B1043" s="1">
        <v>201</v>
      </c>
      <c r="C1043" s="1" t="s">
        <v>1074</v>
      </c>
      <c r="D1043">
        <f>IMAGE("https://raw.githubusercontent.com/stautonico/pokemon-home-pokedex/main/sprites/unown-question.png", 2)</f>
        <v>0</v>
      </c>
      <c r="E1043" s="5" t="s">
        <v>806</v>
      </c>
      <c r="F1043" s="5" t="s">
        <v>806</v>
      </c>
    </row>
    <row r="1044" spans="1:6" ht="72" customHeight="1">
      <c r="A1044" s="1" t="s">
        <v>27</v>
      </c>
      <c r="B1044" s="1">
        <v>10001</v>
      </c>
      <c r="C1044" s="1" t="s">
        <v>1075</v>
      </c>
      <c r="D1044">
        <f>IMAGE("https://raw.githubusercontent.com/stautonico/pokemon-home-pokedex/main/sprites/deoxys-attack.png", 2)</f>
        <v>0</v>
      </c>
      <c r="E1044" s="5" t="s">
        <v>806</v>
      </c>
      <c r="F1044" s="5" t="s">
        <v>806</v>
      </c>
    </row>
    <row r="1045" spans="1:6" ht="72" customHeight="1">
      <c r="A1045" s="1" t="s">
        <v>27</v>
      </c>
      <c r="B1045" s="1">
        <v>10002</v>
      </c>
      <c r="C1045" s="1" t="s">
        <v>1076</v>
      </c>
      <c r="D1045">
        <f>IMAGE("https://raw.githubusercontent.com/stautonico/pokemon-home-pokedex/main/sprites/deoxys-defense.png", 2)</f>
        <v>0</v>
      </c>
      <c r="E1045" s="5" t="s">
        <v>806</v>
      </c>
      <c r="F1045" s="5" t="s">
        <v>806</v>
      </c>
    </row>
    <row r="1046" spans="1:6" ht="72" customHeight="1">
      <c r="A1046" s="1" t="s">
        <v>27</v>
      </c>
      <c r="B1046" s="1">
        <v>10003</v>
      </c>
      <c r="C1046" s="1" t="s">
        <v>1077</v>
      </c>
      <c r="D1046">
        <f>IMAGE("https://raw.githubusercontent.com/stautonico/pokemon-home-pokedex/main/sprites/deoxys-speed.png", 2)</f>
        <v>0</v>
      </c>
      <c r="E1046" s="5" t="s">
        <v>806</v>
      </c>
      <c r="F1046" s="5" t="s">
        <v>806</v>
      </c>
    </row>
    <row r="1047" spans="1:6" ht="72" customHeight="1">
      <c r="A1047" s="1" t="s">
        <v>27</v>
      </c>
      <c r="B1047" s="1">
        <v>412</v>
      </c>
      <c r="C1047" s="1" t="s">
        <v>1078</v>
      </c>
      <c r="D1047">
        <f>IMAGE("https://raw.githubusercontent.com/stautonico/pokemon-home-pokedex/main/sprites/burmy-sandy.png", 2)</f>
        <v>0</v>
      </c>
      <c r="E1047" s="5" t="s">
        <v>806</v>
      </c>
      <c r="F1047" s="5" t="s">
        <v>806</v>
      </c>
    </row>
    <row r="1048" spans="1:6" ht="72" customHeight="1">
      <c r="A1048" s="1" t="s">
        <v>27</v>
      </c>
      <c r="B1048" s="1">
        <v>412</v>
      </c>
      <c r="C1048" s="1" t="s">
        <v>1079</v>
      </c>
      <c r="D1048">
        <f>IMAGE("https://raw.githubusercontent.com/stautonico/pokemon-home-pokedex/main/sprites/burmy-trash.png", 2)</f>
        <v>0</v>
      </c>
      <c r="E1048" s="5" t="s">
        <v>806</v>
      </c>
      <c r="F1048" s="5" t="s">
        <v>806</v>
      </c>
    </row>
    <row r="1049" spans="1:6" ht="72" customHeight="1">
      <c r="A1049" s="1" t="s">
        <v>27</v>
      </c>
      <c r="B1049" s="1">
        <v>10004</v>
      </c>
      <c r="C1049" s="1" t="s">
        <v>1080</v>
      </c>
      <c r="D1049">
        <f>IMAGE("https://raw.githubusercontent.com/stautonico/pokemon-home-pokedex/main/sprites/wormadam-sandy.png", 2)</f>
        <v>0</v>
      </c>
      <c r="E1049" s="5" t="s">
        <v>806</v>
      </c>
      <c r="F1049" s="5" t="s">
        <v>806</v>
      </c>
    </row>
    <row r="1050" spans="1:6" ht="72" customHeight="1">
      <c r="A1050" s="1" t="s">
        <v>27</v>
      </c>
      <c r="B1050" s="1">
        <v>10005</v>
      </c>
      <c r="C1050" s="1" t="s">
        <v>1081</v>
      </c>
      <c r="D1050">
        <f>IMAGE("https://raw.githubusercontent.com/stautonico/pokemon-home-pokedex/main/sprites/wormadam-trash.png", 2)</f>
        <v>0</v>
      </c>
      <c r="E1050" s="5" t="s">
        <v>806</v>
      </c>
      <c r="F1050" s="5" t="s">
        <v>806</v>
      </c>
    </row>
    <row r="1051" spans="1:6" ht="72" customHeight="1">
      <c r="A1051" s="1" t="s">
        <v>27</v>
      </c>
      <c r="B1051" s="1">
        <v>422</v>
      </c>
      <c r="C1051" s="1" t="s">
        <v>1082</v>
      </c>
      <c r="D1051">
        <f>IMAGE("https://raw.githubusercontent.com/stautonico/pokemon-home-pokedex/main/sprites/shellos-east.png", 2)</f>
        <v>0</v>
      </c>
      <c r="E1051" s="5" t="s">
        <v>806</v>
      </c>
      <c r="F1051" s="5" t="s">
        <v>806</v>
      </c>
    </row>
    <row r="1052" spans="1:6" ht="72" customHeight="1">
      <c r="A1052" s="1" t="s">
        <v>27</v>
      </c>
      <c r="B1052" s="1">
        <v>423</v>
      </c>
      <c r="C1052" s="1" t="s">
        <v>1083</v>
      </c>
      <c r="D1052">
        <f>IMAGE("https://raw.githubusercontent.com/stautonico/pokemon-home-pokedex/main/sprites/gastrodon-east.png", 2)</f>
        <v>0</v>
      </c>
      <c r="E1052" s="5" t="s">
        <v>806</v>
      </c>
      <c r="F1052" s="5" t="s">
        <v>806</v>
      </c>
    </row>
    <row r="1053" spans="1:6" ht="72" customHeight="1">
      <c r="A1053" s="1" t="s">
        <v>27</v>
      </c>
      <c r="B1053" s="1">
        <v>10008</v>
      </c>
      <c r="C1053" s="1" t="s">
        <v>1084</v>
      </c>
      <c r="D1053">
        <f>IMAGE("https://raw.githubusercontent.com/stautonico/pokemon-home-pokedex/main/sprites/rotom-heat.png", 2)</f>
        <v>0</v>
      </c>
      <c r="E1053" s="5" t="s">
        <v>806</v>
      </c>
      <c r="F1053" s="5" t="s">
        <v>806</v>
      </c>
    </row>
    <row r="1054" spans="1:6" ht="72" customHeight="1">
      <c r="A1054" s="1" t="s">
        <v>27</v>
      </c>
      <c r="B1054" s="1">
        <v>10009</v>
      </c>
      <c r="C1054" s="1" t="s">
        <v>1085</v>
      </c>
      <c r="D1054">
        <f>IMAGE("https://raw.githubusercontent.com/stautonico/pokemon-home-pokedex/main/sprites/rotom-wash.png", 2)</f>
        <v>0</v>
      </c>
      <c r="E1054" s="5" t="s">
        <v>806</v>
      </c>
      <c r="F1054" s="5" t="s">
        <v>806</v>
      </c>
    </row>
    <row r="1055" spans="1:6" ht="72" customHeight="1">
      <c r="A1055" s="1" t="s">
        <v>27</v>
      </c>
      <c r="B1055" s="1">
        <v>10010</v>
      </c>
      <c r="C1055" s="1" t="s">
        <v>1086</v>
      </c>
      <c r="D1055">
        <f>IMAGE("https://raw.githubusercontent.com/stautonico/pokemon-home-pokedex/main/sprites/rotom-frost.png", 2)</f>
        <v>0</v>
      </c>
      <c r="E1055" s="5" t="s">
        <v>806</v>
      </c>
      <c r="F1055" s="5" t="s">
        <v>806</v>
      </c>
    </row>
    <row r="1056" spans="1:6" ht="72" customHeight="1">
      <c r="A1056" s="1" t="s">
        <v>27</v>
      </c>
      <c r="B1056" s="1">
        <v>10011</v>
      </c>
      <c r="C1056" s="1" t="s">
        <v>1087</v>
      </c>
      <c r="D1056">
        <f>IMAGE("https://raw.githubusercontent.com/stautonico/pokemon-home-pokedex/main/sprites/rotom-fan.png", 2)</f>
        <v>0</v>
      </c>
      <c r="E1056" s="5" t="s">
        <v>806</v>
      </c>
      <c r="F1056" s="5" t="s">
        <v>806</v>
      </c>
    </row>
    <row r="1057" spans="1:6" ht="72" customHeight="1">
      <c r="A1057" s="1" t="s">
        <v>27</v>
      </c>
      <c r="B1057" s="1">
        <v>10012</v>
      </c>
      <c r="C1057" s="1" t="s">
        <v>1088</v>
      </c>
      <c r="D1057">
        <f>IMAGE("https://raw.githubusercontent.com/stautonico/pokemon-home-pokedex/main/sprites/rotom-mow.png", 2)</f>
        <v>0</v>
      </c>
      <c r="E1057" s="5" t="s">
        <v>806</v>
      </c>
      <c r="F1057" s="5" t="s">
        <v>806</v>
      </c>
    </row>
    <row r="1058" spans="1:6" ht="72" customHeight="1">
      <c r="A1058" s="1" t="s">
        <v>27</v>
      </c>
      <c r="B1058" s="1">
        <v>10006</v>
      </c>
      <c r="C1058" s="1" t="s">
        <v>1089</v>
      </c>
      <c r="D1058">
        <f>IMAGE("https://raw.githubusercontent.com/stautonico/pokemon-home-pokedex/main/sprites/shaymin-sky.png", 2)</f>
        <v>0</v>
      </c>
      <c r="E1058" s="5" t="s">
        <v>806</v>
      </c>
      <c r="F1058" s="5" t="s">
        <v>806</v>
      </c>
    </row>
    <row r="1059" spans="1:6" ht="72" customHeight="1">
      <c r="A1059" s="1" t="s">
        <v>27</v>
      </c>
      <c r="B1059" s="1">
        <v>585</v>
      </c>
      <c r="C1059" s="1" t="s">
        <v>1090</v>
      </c>
      <c r="D1059">
        <f>IMAGE("https://raw.githubusercontent.com/stautonico/pokemon-home-pokedex/main/sprites/deerling-summer.png", 2)</f>
        <v>0</v>
      </c>
      <c r="E1059" s="5" t="s">
        <v>806</v>
      </c>
      <c r="F1059" s="5" t="s">
        <v>806</v>
      </c>
    </row>
    <row r="1060" spans="1:6" ht="72" customHeight="1">
      <c r="A1060" s="1" t="s">
        <v>27</v>
      </c>
      <c r="B1060" s="1">
        <v>585</v>
      </c>
      <c r="C1060" s="1" t="s">
        <v>1091</v>
      </c>
      <c r="D1060">
        <f>IMAGE("https://raw.githubusercontent.com/stautonico/pokemon-home-pokedex/main/sprites/deerling-autumn.png", 2)</f>
        <v>0</v>
      </c>
      <c r="E1060" s="5" t="s">
        <v>806</v>
      </c>
      <c r="F1060" s="5" t="s">
        <v>806</v>
      </c>
    </row>
    <row r="1061" spans="1:6" ht="72" customHeight="1">
      <c r="A1061" s="1" t="s">
        <v>27</v>
      </c>
      <c r="B1061" s="1">
        <v>585</v>
      </c>
      <c r="C1061" s="1" t="s">
        <v>1092</v>
      </c>
      <c r="D1061">
        <f>IMAGE("https://raw.githubusercontent.com/stautonico/pokemon-home-pokedex/main/sprites/deerling-winter.png", 2)</f>
        <v>0</v>
      </c>
      <c r="E1061" s="5" t="s">
        <v>806</v>
      </c>
      <c r="F1061" s="5" t="s">
        <v>806</v>
      </c>
    </row>
    <row r="1062" spans="1:6" ht="72" customHeight="1">
      <c r="A1062" s="1" t="s">
        <v>27</v>
      </c>
      <c r="B1062" s="1">
        <v>586</v>
      </c>
      <c r="C1062" s="1" t="s">
        <v>1093</v>
      </c>
      <c r="D1062">
        <f>IMAGE("https://raw.githubusercontent.com/stautonico/pokemon-home-pokedex/main/sprites/sawsbuck-summer.png", 2)</f>
        <v>0</v>
      </c>
      <c r="E1062" s="5" t="s">
        <v>806</v>
      </c>
      <c r="F1062" s="5" t="s">
        <v>806</v>
      </c>
    </row>
    <row r="1063" spans="1:6" ht="72" customHeight="1">
      <c r="A1063" s="1" t="s">
        <v>27</v>
      </c>
      <c r="B1063" s="1">
        <v>586</v>
      </c>
      <c r="C1063" s="1" t="s">
        <v>1094</v>
      </c>
      <c r="D1063">
        <f>IMAGE("https://raw.githubusercontent.com/stautonico/pokemon-home-pokedex/main/sprites/sawsbuck-autumn.png", 2)</f>
        <v>0</v>
      </c>
      <c r="E1063" s="5" t="s">
        <v>806</v>
      </c>
      <c r="F1063" s="5" t="s">
        <v>806</v>
      </c>
    </row>
    <row r="1064" spans="1:6" ht="72" customHeight="1">
      <c r="A1064" s="1" t="s">
        <v>27</v>
      </c>
      <c r="B1064" s="1">
        <v>586</v>
      </c>
      <c r="C1064" s="1" t="s">
        <v>1095</v>
      </c>
      <c r="D1064">
        <f>IMAGE("https://raw.githubusercontent.com/stautonico/pokemon-home-pokedex/main/sprites/sawsbuck-winter.png", 2)</f>
        <v>0</v>
      </c>
      <c r="E1064" s="5" t="s">
        <v>806</v>
      </c>
      <c r="F1064" s="5" t="s">
        <v>806</v>
      </c>
    </row>
    <row r="1065" spans="1:6" ht="72" customHeight="1">
      <c r="A1065" s="1" t="s">
        <v>27</v>
      </c>
      <c r="B1065" s="1">
        <v>10016</v>
      </c>
      <c r="C1065" s="1" t="s">
        <v>1096</v>
      </c>
      <c r="D1065">
        <f>IMAGE("https://raw.githubusercontent.com/stautonico/pokemon-home-pokedex/main/sprites/basculin-blue-striped.png", 2)</f>
        <v>0</v>
      </c>
      <c r="E1065" s="5" t="s">
        <v>806</v>
      </c>
      <c r="F1065" s="5" t="s">
        <v>806</v>
      </c>
    </row>
    <row r="1066" spans="1:6" ht="72" customHeight="1">
      <c r="A1066" s="1" t="s">
        <v>27</v>
      </c>
      <c r="B1066" s="1">
        <v>10019</v>
      </c>
      <c r="C1066" s="1" t="s">
        <v>1097</v>
      </c>
      <c r="D1066">
        <f>IMAGE("https://raw.githubusercontent.com/stautonico/pokemon-home-pokedex/main/sprites/tornadus-therian.png", 2)</f>
        <v>0</v>
      </c>
      <c r="E1066" s="5" t="s">
        <v>806</v>
      </c>
      <c r="F1066" s="5" t="s">
        <v>806</v>
      </c>
    </row>
    <row r="1067" spans="1:6" ht="72" customHeight="1">
      <c r="A1067" s="1" t="s">
        <v>27</v>
      </c>
      <c r="B1067" s="1">
        <v>10020</v>
      </c>
      <c r="C1067" s="1" t="s">
        <v>1098</v>
      </c>
      <c r="D1067">
        <f>IMAGE("https://raw.githubusercontent.com/stautonico/pokemon-home-pokedex/main/sprites/thundurus-therian.png", 2)</f>
        <v>0</v>
      </c>
      <c r="E1067" s="5" t="s">
        <v>806</v>
      </c>
      <c r="F1067" s="5" t="s">
        <v>806</v>
      </c>
    </row>
    <row r="1068" spans="1:6" ht="72" customHeight="1">
      <c r="A1068" s="1" t="s">
        <v>27</v>
      </c>
      <c r="B1068" s="1">
        <v>10021</v>
      </c>
      <c r="C1068" s="1" t="s">
        <v>1099</v>
      </c>
      <c r="D1068">
        <f>IMAGE("https://raw.githubusercontent.com/stautonico/pokemon-home-pokedex/main/sprites/landorus-therian.png", 2)</f>
        <v>0</v>
      </c>
      <c r="E1068" s="5" t="s">
        <v>806</v>
      </c>
      <c r="F1068" s="5" t="s">
        <v>806</v>
      </c>
    </row>
    <row r="1069" spans="1:6" ht="72" customHeight="1">
      <c r="A1069" s="1" t="s">
        <v>27</v>
      </c>
      <c r="B1069" s="1">
        <v>10024</v>
      </c>
      <c r="C1069" s="1" t="s">
        <v>1100</v>
      </c>
      <c r="D1069">
        <f>IMAGE("https://raw.githubusercontent.com/stautonico/pokemon-home-pokedex/main/sprites/keldeo-resolute.png", 2)</f>
        <v>0</v>
      </c>
      <c r="E1069" s="5" t="s">
        <v>806</v>
      </c>
      <c r="F1069" s="5" t="s">
        <v>806</v>
      </c>
    </row>
    <row r="1070" spans="1:6" ht="72" customHeight="1">
      <c r="A1070" s="1" t="s">
        <v>27</v>
      </c>
      <c r="B1070" s="1">
        <v>10027</v>
      </c>
      <c r="C1070" s="1" t="s">
        <v>1101</v>
      </c>
      <c r="D1070">
        <f>IMAGE("https://raw.githubusercontent.com/stautonico/pokemon-home-pokedex/main/sprites/pumpkaboo-small.png", 2)</f>
        <v>0</v>
      </c>
      <c r="E1070" s="5" t="s">
        <v>806</v>
      </c>
      <c r="F1070" s="5" t="s">
        <v>806</v>
      </c>
    </row>
    <row r="1071" spans="1:6" ht="72" customHeight="1">
      <c r="A1071" s="1" t="s">
        <v>27</v>
      </c>
      <c r="B1071" s="1">
        <v>10028</v>
      </c>
      <c r="C1071" s="1" t="s">
        <v>1102</v>
      </c>
      <c r="D1071">
        <f>IMAGE("https://raw.githubusercontent.com/stautonico/pokemon-home-pokedex/main/sprites/pumpkaboo-large.png", 2)</f>
        <v>0</v>
      </c>
      <c r="E1071" s="5" t="s">
        <v>806</v>
      </c>
      <c r="F1071" s="5" t="s">
        <v>806</v>
      </c>
    </row>
    <row r="1072" spans="1:6" ht="72" customHeight="1">
      <c r="A1072" s="1" t="s">
        <v>27</v>
      </c>
      <c r="B1072" s="1">
        <v>10029</v>
      </c>
      <c r="C1072" s="1" t="s">
        <v>1103</v>
      </c>
      <c r="D1072">
        <f>IMAGE("https://raw.githubusercontent.com/stautonico/pokemon-home-pokedex/main/sprites/pumpkaboo-super.png", 2)</f>
        <v>0</v>
      </c>
      <c r="E1072" s="5" t="s">
        <v>806</v>
      </c>
      <c r="F1072" s="5" t="s">
        <v>806</v>
      </c>
    </row>
    <row r="1073" spans="1:6" ht="72" customHeight="1">
      <c r="A1073" s="1" t="s">
        <v>27</v>
      </c>
      <c r="B1073" s="1">
        <v>10030</v>
      </c>
      <c r="C1073" s="1" t="s">
        <v>1104</v>
      </c>
      <c r="D1073">
        <f>IMAGE("https://raw.githubusercontent.com/stautonico/pokemon-home-pokedex/main/sprites/gourgeist-small.png", 2)</f>
        <v>0</v>
      </c>
      <c r="E1073" s="5" t="s">
        <v>806</v>
      </c>
      <c r="F1073" s="5" t="s">
        <v>806</v>
      </c>
    </row>
    <row r="1074" spans="1:6" ht="72" customHeight="1">
      <c r="A1074" s="1" t="s">
        <v>27</v>
      </c>
      <c r="B1074" s="1">
        <v>10031</v>
      </c>
      <c r="C1074" s="1" t="s">
        <v>1105</v>
      </c>
      <c r="D1074">
        <f>IMAGE("https://raw.githubusercontent.com/stautonico/pokemon-home-pokedex/main/sprites/gourgeist-large.png", 2)</f>
        <v>0</v>
      </c>
      <c r="E1074" s="5" t="s">
        <v>806</v>
      </c>
      <c r="F1074" s="5" t="s">
        <v>806</v>
      </c>
    </row>
    <row r="1075" spans="1:6" ht="72" customHeight="1">
      <c r="A1075" s="1" t="s">
        <v>27</v>
      </c>
      <c r="B1075" s="1">
        <v>10032</v>
      </c>
      <c r="C1075" s="1" t="s">
        <v>1106</v>
      </c>
      <c r="D1075">
        <f>IMAGE("https://raw.githubusercontent.com/stautonico/pokemon-home-pokedex/main/sprites/gourgeist-super.png", 2)</f>
        <v>0</v>
      </c>
      <c r="E1075" s="5" t="s">
        <v>806</v>
      </c>
      <c r="F1075" s="5" t="s">
        <v>806</v>
      </c>
    </row>
    <row r="1076" spans="1:6" ht="72" customHeight="1">
      <c r="A1076" s="1" t="s">
        <v>27</v>
      </c>
      <c r="B1076" s="1">
        <v>676</v>
      </c>
      <c r="C1076" s="1" t="s">
        <v>1107</v>
      </c>
      <c r="D1076">
        <f>IMAGE("https://raw.githubusercontent.com/stautonico/pokemon-home-pokedex/main/sprites/furfrou-heart.png", 2)</f>
        <v>0</v>
      </c>
      <c r="E1076" s="5" t="s">
        <v>806</v>
      </c>
      <c r="F1076" s="5" t="s">
        <v>806</v>
      </c>
    </row>
    <row r="1077" spans="1:6" ht="72" customHeight="1">
      <c r="A1077" s="1" t="s">
        <v>27</v>
      </c>
      <c r="B1077" s="1">
        <v>676</v>
      </c>
      <c r="C1077" s="1" t="s">
        <v>1108</v>
      </c>
      <c r="D1077">
        <f>IMAGE("https://raw.githubusercontent.com/stautonico/pokemon-home-pokedex/main/sprites/furfrou-star.png", 2)</f>
        <v>0</v>
      </c>
      <c r="E1077" s="5" t="s">
        <v>806</v>
      </c>
      <c r="F1077" s="5" t="s">
        <v>806</v>
      </c>
    </row>
    <row r="1078" spans="1:6" ht="72" customHeight="1">
      <c r="A1078" s="1" t="s">
        <v>27</v>
      </c>
      <c r="B1078" s="1">
        <v>676</v>
      </c>
      <c r="C1078" s="1" t="s">
        <v>1109</v>
      </c>
      <c r="D1078">
        <f>IMAGE("https://raw.githubusercontent.com/stautonico/pokemon-home-pokedex/main/sprites/furfrou-diamond.png", 2)</f>
        <v>0</v>
      </c>
      <c r="E1078" s="5" t="s">
        <v>806</v>
      </c>
      <c r="F1078" s="5" t="s">
        <v>806</v>
      </c>
    </row>
    <row r="1079" spans="1:6" ht="72" customHeight="1">
      <c r="A1079" s="1" t="s">
        <v>27</v>
      </c>
      <c r="B1079" s="1">
        <v>676</v>
      </c>
      <c r="C1079" s="1" t="s">
        <v>1110</v>
      </c>
      <c r="D1079">
        <f>IMAGE("https://raw.githubusercontent.com/stautonico/pokemon-home-pokedex/main/sprites/furfrou-debutante.png", 2)</f>
        <v>0</v>
      </c>
      <c r="E1079" s="5" t="s">
        <v>806</v>
      </c>
      <c r="F1079" s="5" t="s">
        <v>806</v>
      </c>
    </row>
    <row r="1080" spans="1:6" ht="72" customHeight="1">
      <c r="A1080" s="1" t="s">
        <v>27</v>
      </c>
      <c r="B1080" s="1">
        <v>676</v>
      </c>
      <c r="C1080" s="1" t="s">
        <v>1111</v>
      </c>
      <c r="D1080">
        <f>IMAGE("https://raw.githubusercontent.com/stautonico/pokemon-home-pokedex/main/sprites/furfrou-matron.png", 2)</f>
        <v>0</v>
      </c>
      <c r="E1080" s="5" t="s">
        <v>806</v>
      </c>
      <c r="F1080" s="5" t="s">
        <v>806</v>
      </c>
    </row>
    <row r="1081" spans="1:6" ht="72" customHeight="1">
      <c r="A1081" s="1" t="s">
        <v>27</v>
      </c>
      <c r="B1081" s="1">
        <v>676</v>
      </c>
      <c r="C1081" s="1" t="s">
        <v>1112</v>
      </c>
      <c r="D1081">
        <f>IMAGE("https://raw.githubusercontent.com/stautonico/pokemon-home-pokedex/main/sprites/furfrou-dandy.png", 2)</f>
        <v>0</v>
      </c>
      <c r="E1081" s="5" t="s">
        <v>806</v>
      </c>
      <c r="F1081" s="5" t="s">
        <v>806</v>
      </c>
    </row>
    <row r="1082" spans="1:6" ht="72" customHeight="1">
      <c r="A1082" s="1" t="s">
        <v>27</v>
      </c>
      <c r="B1082" s="1">
        <v>676</v>
      </c>
      <c r="C1082" s="1" t="s">
        <v>1113</v>
      </c>
      <c r="D1082">
        <f>IMAGE("https://raw.githubusercontent.com/stautonico/pokemon-home-pokedex/main/sprites/furfrou-la-reine.png", 2)</f>
        <v>0</v>
      </c>
      <c r="E1082" s="5" t="s">
        <v>806</v>
      </c>
      <c r="F1082" s="5" t="s">
        <v>806</v>
      </c>
    </row>
    <row r="1083" spans="1:6" ht="72" customHeight="1">
      <c r="A1083" s="1" t="s">
        <v>27</v>
      </c>
      <c r="B1083" s="1">
        <v>676</v>
      </c>
      <c r="C1083" s="1" t="s">
        <v>1114</v>
      </c>
      <c r="D1083">
        <f>IMAGE("https://raw.githubusercontent.com/stautonico/pokemon-home-pokedex/main/sprites/furfrou-kabuki.png", 2)</f>
        <v>0</v>
      </c>
      <c r="E1083" s="5" t="s">
        <v>806</v>
      </c>
      <c r="F1083" s="5" t="s">
        <v>806</v>
      </c>
    </row>
    <row r="1084" spans="1:6" ht="72" customHeight="1">
      <c r="A1084" s="1" t="s">
        <v>27</v>
      </c>
      <c r="B1084" s="1">
        <v>676</v>
      </c>
      <c r="C1084" s="1" t="s">
        <v>1115</v>
      </c>
      <c r="D1084">
        <f>IMAGE("https://raw.githubusercontent.com/stautonico/pokemon-home-pokedex/main/sprites/furfrou-pharaoh.png", 2)</f>
        <v>0</v>
      </c>
      <c r="E1084" s="5" t="s">
        <v>806</v>
      </c>
      <c r="F1084" s="5" t="s">
        <v>806</v>
      </c>
    </row>
    <row r="1085" spans="1:6" ht="72" customHeight="1">
      <c r="A1085" s="1" t="s">
        <v>27</v>
      </c>
      <c r="B1085" s="1">
        <v>669</v>
      </c>
      <c r="C1085" s="1" t="s">
        <v>1116</v>
      </c>
      <c r="D1085">
        <f>IMAGE("https://raw.githubusercontent.com/stautonico/pokemon-home-pokedex/main/sprites/flabebe-yellow.png", 2)</f>
        <v>0</v>
      </c>
      <c r="E1085" s="5" t="s">
        <v>806</v>
      </c>
      <c r="F1085" s="5" t="s">
        <v>806</v>
      </c>
    </row>
    <row r="1086" spans="1:6" ht="72" customHeight="1">
      <c r="A1086" s="1" t="s">
        <v>27</v>
      </c>
      <c r="B1086" s="1">
        <v>669</v>
      </c>
      <c r="C1086" s="1" t="s">
        <v>1117</v>
      </c>
      <c r="D1086">
        <f>IMAGE("https://raw.githubusercontent.com/stautonico/pokemon-home-pokedex/main/sprites/flabebe-orange.png", 2)</f>
        <v>0</v>
      </c>
      <c r="E1086" s="5" t="s">
        <v>806</v>
      </c>
      <c r="F1086" s="5" t="s">
        <v>806</v>
      </c>
    </row>
    <row r="1087" spans="1:6" ht="72" customHeight="1">
      <c r="A1087" s="1" t="s">
        <v>27</v>
      </c>
      <c r="B1087" s="1">
        <v>669</v>
      </c>
      <c r="C1087" s="1" t="s">
        <v>1118</v>
      </c>
      <c r="D1087">
        <f>IMAGE("https://raw.githubusercontent.com/stautonico/pokemon-home-pokedex/main/sprites/flabebe-blue.png", 2)</f>
        <v>0</v>
      </c>
      <c r="E1087" s="5" t="s">
        <v>806</v>
      </c>
      <c r="F1087" s="5" t="s">
        <v>806</v>
      </c>
    </row>
    <row r="1088" spans="1:6" ht="72" customHeight="1">
      <c r="A1088" s="1" t="s">
        <v>27</v>
      </c>
      <c r="B1088" s="1">
        <v>669</v>
      </c>
      <c r="C1088" s="1" t="s">
        <v>1119</v>
      </c>
      <c r="D1088">
        <f>IMAGE("https://raw.githubusercontent.com/stautonico/pokemon-home-pokedex/main/sprites/flabebe-white.png", 2)</f>
        <v>0</v>
      </c>
      <c r="E1088" s="5" t="s">
        <v>806</v>
      </c>
      <c r="F1088" s="5" t="s">
        <v>806</v>
      </c>
    </row>
    <row r="1089" spans="1:6" ht="72" customHeight="1">
      <c r="A1089" s="1" t="s">
        <v>27</v>
      </c>
      <c r="B1089" s="1">
        <v>670</v>
      </c>
      <c r="C1089" s="1" t="s">
        <v>1120</v>
      </c>
      <c r="D1089">
        <f>IMAGE("https://raw.githubusercontent.com/stautonico/pokemon-home-pokedex/main/sprites/floette-yellow.png", 2)</f>
        <v>0</v>
      </c>
      <c r="E1089" s="5" t="s">
        <v>806</v>
      </c>
      <c r="F1089" s="5" t="s">
        <v>806</v>
      </c>
    </row>
    <row r="1090" spans="1:6" ht="72" customHeight="1">
      <c r="A1090" s="1" t="s">
        <v>27</v>
      </c>
      <c r="B1090" s="1">
        <v>670</v>
      </c>
      <c r="C1090" s="1" t="s">
        <v>1121</v>
      </c>
      <c r="D1090">
        <f>IMAGE("https://raw.githubusercontent.com/stautonico/pokemon-home-pokedex/main/sprites/floette-orange.png", 2)</f>
        <v>0</v>
      </c>
      <c r="E1090" s="5" t="s">
        <v>806</v>
      </c>
      <c r="F1090" s="5" t="s">
        <v>806</v>
      </c>
    </row>
    <row r="1091" spans="1:6" ht="72" customHeight="1">
      <c r="A1091" s="1" t="s">
        <v>27</v>
      </c>
      <c r="B1091" s="1">
        <v>670</v>
      </c>
      <c r="C1091" s="1" t="s">
        <v>1122</v>
      </c>
      <c r="D1091">
        <f>IMAGE("https://raw.githubusercontent.com/stautonico/pokemon-home-pokedex/main/sprites/floette-blue.png", 2)</f>
        <v>0</v>
      </c>
      <c r="E1091" s="5" t="s">
        <v>806</v>
      </c>
      <c r="F1091" s="5" t="s">
        <v>806</v>
      </c>
    </row>
    <row r="1092" spans="1:6" ht="72" customHeight="1">
      <c r="A1092" s="1" t="s">
        <v>27</v>
      </c>
      <c r="B1092" s="1">
        <v>670</v>
      </c>
      <c r="C1092" s="1" t="s">
        <v>1123</v>
      </c>
      <c r="D1092">
        <f>IMAGE("https://raw.githubusercontent.com/stautonico/pokemon-home-pokedex/main/sprites/floette-white.png", 2)</f>
        <v>0</v>
      </c>
      <c r="E1092" s="5" t="s">
        <v>806</v>
      </c>
      <c r="F1092" s="5" t="s">
        <v>806</v>
      </c>
    </row>
    <row r="1093" spans="1:6" ht="72" customHeight="1">
      <c r="A1093" s="1" t="s">
        <v>27</v>
      </c>
      <c r="B1093" s="1">
        <v>671</v>
      </c>
      <c r="C1093" s="1" t="s">
        <v>1124</v>
      </c>
      <c r="D1093">
        <f>IMAGE("https://raw.githubusercontent.com/stautonico/pokemon-home-pokedex/main/sprites/florges-yellow.png", 2)</f>
        <v>0</v>
      </c>
      <c r="E1093" s="5" t="s">
        <v>806</v>
      </c>
      <c r="F1093" s="5" t="s">
        <v>806</v>
      </c>
    </row>
    <row r="1094" spans="1:6" ht="72" customHeight="1">
      <c r="A1094" s="1" t="s">
        <v>27</v>
      </c>
      <c r="B1094" s="1">
        <v>671</v>
      </c>
      <c r="C1094" s="1" t="s">
        <v>1125</v>
      </c>
      <c r="D1094">
        <f>IMAGE("https://raw.githubusercontent.com/stautonico/pokemon-home-pokedex/main/sprites/florges-orange.png", 2)</f>
        <v>0</v>
      </c>
      <c r="E1094" s="5" t="s">
        <v>806</v>
      </c>
      <c r="F1094" s="5" t="s">
        <v>806</v>
      </c>
    </row>
    <row r="1095" spans="1:6" ht="72" customHeight="1">
      <c r="A1095" s="1" t="s">
        <v>27</v>
      </c>
      <c r="B1095" s="1">
        <v>671</v>
      </c>
      <c r="C1095" s="1" t="s">
        <v>1126</v>
      </c>
      <c r="D1095">
        <f>IMAGE("https://raw.githubusercontent.com/stautonico/pokemon-home-pokedex/main/sprites/florges-blue.png", 2)</f>
        <v>0</v>
      </c>
      <c r="E1095" s="5" t="s">
        <v>806</v>
      </c>
      <c r="F1095" s="5" t="s">
        <v>806</v>
      </c>
    </row>
    <row r="1096" spans="1:6" ht="72" customHeight="1">
      <c r="A1096" s="1" t="s">
        <v>27</v>
      </c>
      <c r="B1096" s="1">
        <v>671</v>
      </c>
      <c r="C1096" s="1" t="s">
        <v>1127</v>
      </c>
      <c r="D1096">
        <f>IMAGE("https://raw.githubusercontent.com/stautonico/pokemon-home-pokedex/main/sprites/florges-white.png", 2)</f>
        <v>0</v>
      </c>
      <c r="E1096" s="5" t="s">
        <v>806</v>
      </c>
      <c r="F1096" s="5" t="s">
        <v>806</v>
      </c>
    </row>
    <row r="1097" spans="1:6" ht="72" customHeight="1">
      <c r="A1097" s="1" t="s">
        <v>27</v>
      </c>
      <c r="B1097" s="1">
        <v>10086</v>
      </c>
      <c r="C1097" s="1" t="s">
        <v>1128</v>
      </c>
      <c r="D1097">
        <f>IMAGE("https://raw.githubusercontent.com/stautonico/pokemon-home-pokedex/main/sprites/hoopa-unbound.png", 2)</f>
        <v>0</v>
      </c>
      <c r="E1097" s="5" t="s">
        <v>806</v>
      </c>
      <c r="F1097" s="5" t="s">
        <v>806</v>
      </c>
    </row>
    <row r="1098" spans="1:6" ht="72" customHeight="1">
      <c r="A1098" s="1" t="s">
        <v>27</v>
      </c>
      <c r="B1098" s="1">
        <v>10116</v>
      </c>
      <c r="C1098" s="1" t="s">
        <v>1129</v>
      </c>
      <c r="D1098">
        <f>IMAGE("https://raw.githubusercontent.com/stautonico/pokemon-home-pokedex/main/sprites/greninja-battle-bond.png", 2)</f>
        <v>0</v>
      </c>
      <c r="E1098" s="5" t="s">
        <v>806</v>
      </c>
      <c r="F1098" s="5" t="s">
        <v>806</v>
      </c>
    </row>
    <row r="1099" spans="1:6" ht="72" customHeight="1">
      <c r="A1099" s="1" t="s">
        <v>27</v>
      </c>
      <c r="B1099" s="1">
        <v>10181</v>
      </c>
      <c r="C1099" s="1" t="s">
        <v>1130</v>
      </c>
      <c r="D1099">
        <f>IMAGE("https://raw.githubusercontent.com/stautonico/pokemon-home-pokedex/main/sprites/zygarde-10.png", 2)</f>
        <v>0</v>
      </c>
      <c r="E1099" s="5" t="s">
        <v>806</v>
      </c>
      <c r="F1099" s="5" t="s">
        <v>806</v>
      </c>
    </row>
    <row r="1100" spans="1:6" ht="72" customHeight="1">
      <c r="A1100" s="1" t="s">
        <v>27</v>
      </c>
      <c r="B1100" s="1">
        <v>10120</v>
      </c>
      <c r="C1100" s="1" t="s">
        <v>1131</v>
      </c>
      <c r="D1100">
        <f>IMAGE("https://raw.githubusercontent.com/stautonico/pokemon-home-pokedex/main/sprites/zygarde-power-construct.png", 2)</f>
        <v>0</v>
      </c>
      <c r="E1100" s="5" t="s">
        <v>806</v>
      </c>
      <c r="F1100" s="5" t="s">
        <v>806</v>
      </c>
    </row>
    <row r="1101" spans="1:6" ht="72" customHeight="1">
      <c r="A1101" s="1" t="s">
        <v>27</v>
      </c>
      <c r="B1101" s="1">
        <v>10118</v>
      </c>
      <c r="C1101" s="1" t="s">
        <v>1132</v>
      </c>
      <c r="D1101">
        <f>IMAGE("https://raw.githubusercontent.com/stautonico/pokemon-home-pokedex/main/sprites/zygarde-10-power-construct.png", 2)</f>
        <v>0</v>
      </c>
      <c r="E1101" s="5" t="s">
        <v>806</v>
      </c>
      <c r="F1101" s="5" t="s">
        <v>806</v>
      </c>
    </row>
    <row r="1102" spans="1:6" ht="72" customHeight="1">
      <c r="A1102" s="1" t="s">
        <v>27</v>
      </c>
      <c r="B1102" s="1">
        <v>666</v>
      </c>
      <c r="C1102" s="1" t="s">
        <v>1133</v>
      </c>
      <c r="D1102">
        <f>IMAGE("https://raw.githubusercontent.com/stautonico/pokemon-home-pokedex/main/sprites/vivillon-polar.png", 2)</f>
        <v>0</v>
      </c>
      <c r="E1102" s="37" t="s">
        <v>25</v>
      </c>
      <c r="F1102" s="24" t="s">
        <v>16</v>
      </c>
    </row>
    <row r="1103" spans="1:6" ht="72" customHeight="1">
      <c r="A1103" s="1" t="s">
        <v>27</v>
      </c>
      <c r="B1103" s="1">
        <v>666</v>
      </c>
      <c r="C1103" s="1" t="s">
        <v>1134</v>
      </c>
      <c r="D1103">
        <f>IMAGE("https://raw.githubusercontent.com/stautonico/pokemon-home-pokedex/main/sprites/vivillon-tundra.png", 2)</f>
        <v>0</v>
      </c>
      <c r="E1103" s="37" t="s">
        <v>25</v>
      </c>
      <c r="F1103" s="24" t="s">
        <v>16</v>
      </c>
    </row>
    <row r="1104" spans="1:6" ht="72" customHeight="1">
      <c r="A1104" s="1" t="s">
        <v>27</v>
      </c>
      <c r="B1104" s="1">
        <v>666</v>
      </c>
      <c r="C1104" s="1" t="s">
        <v>1135</v>
      </c>
      <c r="D1104">
        <f>IMAGE("https://raw.githubusercontent.com/stautonico/pokemon-home-pokedex/main/sprites/vivillon-continental.png", 2)</f>
        <v>0</v>
      </c>
      <c r="E1104" s="37" t="s">
        <v>25</v>
      </c>
      <c r="F1104" s="24" t="s">
        <v>16</v>
      </c>
    </row>
    <row r="1105" spans="1:6" ht="72" customHeight="1">
      <c r="A1105" s="1" t="s">
        <v>27</v>
      </c>
      <c r="B1105" s="1">
        <v>666</v>
      </c>
      <c r="C1105" s="1" t="s">
        <v>1136</v>
      </c>
      <c r="D1105">
        <f>IMAGE("https://raw.githubusercontent.com/stautonico/pokemon-home-pokedex/main/sprites/vivillon-garden.png", 2)</f>
        <v>0</v>
      </c>
      <c r="E1105" s="37" t="s">
        <v>25</v>
      </c>
      <c r="F1105" s="24" t="s">
        <v>16</v>
      </c>
    </row>
    <row r="1106" spans="1:6" ht="72" customHeight="1">
      <c r="A1106" s="1" t="s">
        <v>27</v>
      </c>
      <c r="B1106" s="1">
        <v>666</v>
      </c>
      <c r="C1106" s="1" t="s">
        <v>1137</v>
      </c>
      <c r="D1106">
        <f>IMAGE("https://raw.githubusercontent.com/stautonico/pokemon-home-pokedex/main/sprites/vivillon-elegant.png", 2)</f>
        <v>0</v>
      </c>
      <c r="E1106" s="37" t="s">
        <v>25</v>
      </c>
      <c r="F1106" s="24" t="s">
        <v>16</v>
      </c>
    </row>
    <row r="1107" spans="1:6" ht="72" customHeight="1">
      <c r="A1107" s="1" t="s">
        <v>27</v>
      </c>
      <c r="B1107" s="1">
        <v>666</v>
      </c>
      <c r="C1107" s="1" t="s">
        <v>1138</v>
      </c>
      <c r="D1107">
        <f>IMAGE("https://raw.githubusercontent.com/stautonico/pokemon-home-pokedex/main/sprites/vivillon-meadow.png", 2)</f>
        <v>0</v>
      </c>
      <c r="E1107" s="37" t="s">
        <v>25</v>
      </c>
      <c r="F1107" s="24" t="s">
        <v>16</v>
      </c>
    </row>
    <row r="1108" spans="1:6" ht="72" customHeight="1">
      <c r="A1108" s="1" t="s">
        <v>27</v>
      </c>
      <c r="B1108" s="1">
        <v>666</v>
      </c>
      <c r="C1108" s="1" t="s">
        <v>1139</v>
      </c>
      <c r="D1108">
        <f>IMAGE("https://raw.githubusercontent.com/stautonico/pokemon-home-pokedex/main/sprites/vivillon-modern.png", 2)</f>
        <v>0</v>
      </c>
      <c r="E1108" s="37" t="s">
        <v>25</v>
      </c>
      <c r="F1108" s="24" t="s">
        <v>16</v>
      </c>
    </row>
    <row r="1109" spans="1:6" ht="72" customHeight="1">
      <c r="A1109" s="1" t="s">
        <v>27</v>
      </c>
      <c r="B1109" s="1">
        <v>666</v>
      </c>
      <c r="C1109" s="1" t="s">
        <v>1140</v>
      </c>
      <c r="D1109">
        <f>IMAGE("https://raw.githubusercontent.com/stautonico/pokemon-home-pokedex/main/sprites/vivillon-marine.png", 2)</f>
        <v>0</v>
      </c>
      <c r="E1109" s="37" t="s">
        <v>25</v>
      </c>
      <c r="F1109" s="24" t="s">
        <v>16</v>
      </c>
    </row>
    <row r="1110" spans="1:6" ht="72" customHeight="1">
      <c r="A1110" s="1" t="s">
        <v>27</v>
      </c>
      <c r="B1110" s="1">
        <v>666</v>
      </c>
      <c r="C1110" s="1" t="s">
        <v>1141</v>
      </c>
      <c r="D1110">
        <f>IMAGE("https://raw.githubusercontent.com/stautonico/pokemon-home-pokedex/main/sprites/vivillon-archipelago.png", 2)</f>
        <v>0</v>
      </c>
      <c r="E1110" s="37" t="s">
        <v>25</v>
      </c>
      <c r="F1110" s="24" t="s">
        <v>16</v>
      </c>
    </row>
    <row r="1111" spans="1:6" ht="72" customHeight="1">
      <c r="A1111" s="1" t="s">
        <v>27</v>
      </c>
      <c r="B1111" s="1">
        <v>666</v>
      </c>
      <c r="C1111" s="1" t="s">
        <v>1142</v>
      </c>
      <c r="D1111">
        <f>IMAGE("https://raw.githubusercontent.com/stautonico/pokemon-home-pokedex/main/sprites/vivillon-high-plains.png", 2)</f>
        <v>0</v>
      </c>
      <c r="E1111" s="37" t="s">
        <v>25</v>
      </c>
      <c r="F1111" s="24" t="s">
        <v>16</v>
      </c>
    </row>
    <row r="1112" spans="1:6" ht="72" customHeight="1">
      <c r="A1112" s="1" t="s">
        <v>27</v>
      </c>
      <c r="B1112" s="1">
        <v>666</v>
      </c>
      <c r="C1112" s="1" t="s">
        <v>1143</v>
      </c>
      <c r="D1112">
        <f>IMAGE("https://raw.githubusercontent.com/stautonico/pokemon-home-pokedex/main/sprites/vivillon-sandstorm.png", 2)</f>
        <v>0</v>
      </c>
      <c r="E1112" s="37" t="s">
        <v>25</v>
      </c>
      <c r="F1112" s="24" t="s">
        <v>16</v>
      </c>
    </row>
    <row r="1113" spans="1:6" ht="72" customHeight="1">
      <c r="A1113" s="1" t="s">
        <v>27</v>
      </c>
      <c r="B1113" s="1">
        <v>666</v>
      </c>
      <c r="C1113" s="1" t="s">
        <v>1144</v>
      </c>
      <c r="D1113">
        <f>IMAGE("https://raw.githubusercontent.com/stautonico/pokemon-home-pokedex/main/sprites/vivillon-river.png", 2)</f>
        <v>0</v>
      </c>
      <c r="E1113" s="37" t="s">
        <v>25</v>
      </c>
      <c r="F1113" s="24" t="s">
        <v>16</v>
      </c>
    </row>
    <row r="1114" spans="1:6" ht="72" customHeight="1">
      <c r="A1114" s="1" t="s">
        <v>27</v>
      </c>
      <c r="B1114" s="1">
        <v>666</v>
      </c>
      <c r="C1114" s="1" t="s">
        <v>1145</v>
      </c>
      <c r="D1114">
        <f>IMAGE("https://raw.githubusercontent.com/stautonico/pokemon-home-pokedex/main/sprites/vivillon-monsoon.png", 2)</f>
        <v>0</v>
      </c>
      <c r="E1114" s="37" t="s">
        <v>25</v>
      </c>
      <c r="F1114" s="24" t="s">
        <v>16</v>
      </c>
    </row>
    <row r="1115" spans="1:6" ht="72" customHeight="1">
      <c r="A1115" s="1" t="s">
        <v>27</v>
      </c>
      <c r="B1115" s="1">
        <v>666</v>
      </c>
      <c r="C1115" s="1" t="s">
        <v>1146</v>
      </c>
      <c r="D1115">
        <f>IMAGE("https://raw.githubusercontent.com/stautonico/pokemon-home-pokedex/main/sprites/vivillon-savanna.png", 2)</f>
        <v>0</v>
      </c>
      <c r="E1115" s="37" t="s">
        <v>25</v>
      </c>
      <c r="F1115" s="24" t="s">
        <v>16</v>
      </c>
    </row>
    <row r="1116" spans="1:6" ht="72" customHeight="1">
      <c r="A1116" s="1" t="s">
        <v>27</v>
      </c>
      <c r="B1116" s="1">
        <v>666</v>
      </c>
      <c r="C1116" s="1" t="s">
        <v>1147</v>
      </c>
      <c r="D1116">
        <f>IMAGE("https://raw.githubusercontent.com/stautonico/pokemon-home-pokedex/main/sprites/vivillon-sun.png", 2)</f>
        <v>0</v>
      </c>
      <c r="E1116" s="37" t="s">
        <v>25</v>
      </c>
      <c r="F1116" s="24" t="s">
        <v>16</v>
      </c>
    </row>
    <row r="1117" spans="1:6" ht="72" customHeight="1">
      <c r="A1117" s="1" t="s">
        <v>27</v>
      </c>
      <c r="B1117" s="1">
        <v>666</v>
      </c>
      <c r="C1117" s="1" t="s">
        <v>1148</v>
      </c>
      <c r="D1117">
        <f>IMAGE("https://raw.githubusercontent.com/stautonico/pokemon-home-pokedex/main/sprites/vivillon-ocean.png", 2)</f>
        <v>0</v>
      </c>
      <c r="E1117" s="37" t="s">
        <v>25</v>
      </c>
      <c r="F1117" s="24" t="s">
        <v>16</v>
      </c>
    </row>
    <row r="1118" spans="1:6" ht="72" customHeight="1">
      <c r="A1118" s="1" t="s">
        <v>27</v>
      </c>
      <c r="B1118" s="1">
        <v>666</v>
      </c>
      <c r="C1118" s="1" t="s">
        <v>1149</v>
      </c>
      <c r="D1118">
        <f>IMAGE("https://raw.githubusercontent.com/stautonico/pokemon-home-pokedex/main/sprites/vivillon-jungle.png", 2)</f>
        <v>0</v>
      </c>
      <c r="E1118" s="37" t="s">
        <v>25</v>
      </c>
      <c r="F1118" s="24" t="s">
        <v>16</v>
      </c>
    </row>
    <row r="1119" spans="1:6" ht="72" customHeight="1">
      <c r="A1119" s="1" t="s">
        <v>27</v>
      </c>
      <c r="B1119" s="1">
        <v>666</v>
      </c>
      <c r="C1119" s="1" t="s">
        <v>1150</v>
      </c>
      <c r="D1119">
        <f>IMAGE("https://raw.githubusercontent.com/stautonico/pokemon-home-pokedex/main/sprites/vivillon-fancy.png", 2)</f>
        <v>0</v>
      </c>
      <c r="E1119" s="37" t="s">
        <v>25</v>
      </c>
      <c r="F1119" s="24" t="s">
        <v>16</v>
      </c>
    </row>
    <row r="1120" spans="1:6" ht="72" customHeight="1">
      <c r="A1120" s="1" t="s">
        <v>27</v>
      </c>
      <c r="B1120" s="1">
        <v>666</v>
      </c>
      <c r="C1120" s="1" t="s">
        <v>1151</v>
      </c>
      <c r="D1120">
        <f>IMAGE("https://raw.githubusercontent.com/stautonico/pokemon-home-pokedex/main/sprites/vivillon-pokeball.png", 2)</f>
        <v>0</v>
      </c>
      <c r="E1120" s="37" t="s">
        <v>25</v>
      </c>
      <c r="F1120" s="24" t="s">
        <v>16</v>
      </c>
    </row>
    <row r="1121" spans="1:6" ht="72" customHeight="1">
      <c r="A1121" s="1" t="s">
        <v>27</v>
      </c>
      <c r="B1121" s="1">
        <v>10123</v>
      </c>
      <c r="C1121" s="1" t="s">
        <v>772</v>
      </c>
      <c r="D1121">
        <f>IMAGE("https://raw.githubusercontent.com/stautonico/pokemon-home-pokedex/main/sprites/oricorio-pom-pom.png", 2)</f>
        <v>0</v>
      </c>
      <c r="E1121" s="5" t="s">
        <v>806</v>
      </c>
      <c r="F1121" s="5" t="s">
        <v>806</v>
      </c>
    </row>
    <row r="1122" spans="1:6" ht="72" customHeight="1">
      <c r="A1122" s="1" t="s">
        <v>27</v>
      </c>
      <c r="B1122" s="1">
        <v>10124</v>
      </c>
      <c r="C1122" s="1" t="s">
        <v>1152</v>
      </c>
      <c r="D1122">
        <f>IMAGE("https://raw.githubusercontent.com/stautonico/pokemon-home-pokedex/main/sprites/oricorio-pau.png", 2)</f>
        <v>0</v>
      </c>
      <c r="E1122" s="5" t="s">
        <v>806</v>
      </c>
      <c r="F1122" s="5" t="s">
        <v>806</v>
      </c>
    </row>
    <row r="1123" spans="1:6" ht="72" customHeight="1">
      <c r="A1123" s="1" t="s">
        <v>27</v>
      </c>
      <c r="B1123" s="1">
        <v>10125</v>
      </c>
      <c r="C1123" s="1" t="s">
        <v>1153</v>
      </c>
      <c r="D1123">
        <f>IMAGE("https://raw.githubusercontent.com/stautonico/pokemon-home-pokedex/main/sprites/oricorio-sensu.png", 2)</f>
        <v>0</v>
      </c>
      <c r="E1123" s="5" t="s">
        <v>806</v>
      </c>
      <c r="F1123" s="5" t="s">
        <v>806</v>
      </c>
    </row>
    <row r="1124" spans="1:6" ht="72" customHeight="1">
      <c r="A1124" s="1" t="s">
        <v>27</v>
      </c>
      <c r="B1124" s="1">
        <v>10151</v>
      </c>
      <c r="C1124" s="1" t="s">
        <v>1154</v>
      </c>
      <c r="D1124">
        <f>IMAGE("https://raw.githubusercontent.com/stautonico/pokemon-home-pokedex/main/sprites/rockruff-own-tempo.png", 2)</f>
        <v>0</v>
      </c>
      <c r="E1124" s="5" t="s">
        <v>806</v>
      </c>
      <c r="F1124" s="5" t="s">
        <v>806</v>
      </c>
    </row>
    <row r="1125" spans="1:6" ht="72" customHeight="1">
      <c r="A1125" s="1" t="s">
        <v>27</v>
      </c>
      <c r="B1125" s="1">
        <v>10126</v>
      </c>
      <c r="C1125" s="1" t="s">
        <v>1155</v>
      </c>
      <c r="D1125">
        <f>IMAGE("https://raw.githubusercontent.com/stautonico/pokemon-home-pokedex/main/sprites/lycanroc-midnight.png", 2)</f>
        <v>0</v>
      </c>
      <c r="E1125" s="5" t="s">
        <v>806</v>
      </c>
      <c r="F1125" s="5" t="s">
        <v>806</v>
      </c>
    </row>
    <row r="1126" spans="1:6" ht="72" customHeight="1">
      <c r="A1126" s="1" t="s">
        <v>27</v>
      </c>
      <c r="B1126" s="1">
        <v>10152</v>
      </c>
      <c r="C1126" s="1" t="s">
        <v>1156</v>
      </c>
      <c r="D1126">
        <f>IMAGE("https://raw.githubusercontent.com/stautonico/pokemon-home-pokedex/main/sprites/lycanroc-dusk.png", 2)</f>
        <v>0</v>
      </c>
      <c r="E1126" s="5" t="s">
        <v>806</v>
      </c>
      <c r="F1126" s="5" t="s">
        <v>806</v>
      </c>
    </row>
    <row r="1127" spans="1:6" ht="72" customHeight="1">
      <c r="A1127" s="1" t="s">
        <v>27</v>
      </c>
      <c r="B1127" s="1">
        <v>10137</v>
      </c>
      <c r="C1127" s="1" t="s">
        <v>1157</v>
      </c>
      <c r="D1127">
        <f>IMAGE("https://raw.githubusercontent.com/stautonico/pokemon-home-pokedex/main/sprites/minior-orange.png", 2)</f>
        <v>0</v>
      </c>
      <c r="E1127" s="5" t="s">
        <v>806</v>
      </c>
      <c r="F1127" s="5" t="s">
        <v>806</v>
      </c>
    </row>
    <row r="1128" spans="1:6" ht="72" customHeight="1">
      <c r="A1128" s="1" t="s">
        <v>27</v>
      </c>
      <c r="B1128" s="1">
        <v>10138</v>
      </c>
      <c r="C1128" s="1" t="s">
        <v>1158</v>
      </c>
      <c r="D1128">
        <f>IMAGE("https://raw.githubusercontent.com/stautonico/pokemon-home-pokedex/main/sprites/minior-yellow.png", 2)</f>
        <v>0</v>
      </c>
      <c r="E1128" s="5" t="s">
        <v>806</v>
      </c>
      <c r="F1128" s="5" t="s">
        <v>806</v>
      </c>
    </row>
    <row r="1129" spans="1:6" ht="72" customHeight="1">
      <c r="A1129" s="1" t="s">
        <v>27</v>
      </c>
      <c r="B1129" s="1">
        <v>10139</v>
      </c>
      <c r="C1129" s="1" t="s">
        <v>1159</v>
      </c>
      <c r="D1129">
        <f>IMAGE("https://raw.githubusercontent.com/stautonico/pokemon-home-pokedex/main/sprites/minior-green.png", 2)</f>
        <v>0</v>
      </c>
      <c r="E1129" s="5" t="s">
        <v>806</v>
      </c>
      <c r="F1129" s="5" t="s">
        <v>806</v>
      </c>
    </row>
    <row r="1130" spans="1:6" ht="72" customHeight="1">
      <c r="A1130" s="1" t="s">
        <v>27</v>
      </c>
      <c r="B1130" s="1">
        <v>10140</v>
      </c>
      <c r="C1130" s="1" t="s">
        <v>1160</v>
      </c>
      <c r="D1130">
        <f>IMAGE("https://raw.githubusercontent.com/stautonico/pokemon-home-pokedex/main/sprites/minior-blue.png", 2)</f>
        <v>0</v>
      </c>
      <c r="E1130" s="5" t="s">
        <v>806</v>
      </c>
      <c r="F1130" s="5" t="s">
        <v>806</v>
      </c>
    </row>
    <row r="1131" spans="1:6" ht="72" customHeight="1">
      <c r="A1131" s="1" t="s">
        <v>27</v>
      </c>
      <c r="B1131" s="1">
        <v>10141</v>
      </c>
      <c r="C1131" s="1" t="s">
        <v>1161</v>
      </c>
      <c r="D1131">
        <f>IMAGE("https://raw.githubusercontent.com/stautonico/pokemon-home-pokedex/main/sprites/minior-indigo.png", 2)</f>
        <v>0</v>
      </c>
      <c r="E1131" s="5" t="s">
        <v>806</v>
      </c>
      <c r="F1131" s="5" t="s">
        <v>806</v>
      </c>
    </row>
    <row r="1132" spans="1:6" ht="72" customHeight="1">
      <c r="A1132" s="1" t="s">
        <v>27</v>
      </c>
      <c r="B1132" s="1">
        <v>10142</v>
      </c>
      <c r="C1132" s="1" t="s">
        <v>1162</v>
      </c>
      <c r="D1132">
        <f>IMAGE("https://raw.githubusercontent.com/stautonico/pokemon-home-pokedex/main/sprites/minior-violet.png", 2)</f>
        <v>0</v>
      </c>
      <c r="E1132" s="5" t="s">
        <v>806</v>
      </c>
      <c r="F1132" s="5" t="s">
        <v>806</v>
      </c>
    </row>
    <row r="1133" spans="1:6" ht="72" customHeight="1">
      <c r="A1133" s="1" t="s">
        <v>27</v>
      </c>
      <c r="B1133" s="1">
        <v>10147</v>
      </c>
      <c r="C1133" s="1" t="s">
        <v>1163</v>
      </c>
      <c r="D1133">
        <f>IMAGE("https://raw.githubusercontent.com/stautonico/pokemon-home-pokedex/main/sprites/magearna-original.png", 2)</f>
        <v>0</v>
      </c>
      <c r="E1133" s="5" t="s">
        <v>806</v>
      </c>
      <c r="F1133" s="5" t="s">
        <v>806</v>
      </c>
    </row>
    <row r="1134" spans="1:6" ht="72" customHeight="1">
      <c r="A1134" s="1" t="s">
        <v>27</v>
      </c>
      <c r="B1134" s="1">
        <v>10184</v>
      </c>
      <c r="C1134" s="1" t="s">
        <v>1164</v>
      </c>
      <c r="D1134">
        <f>IMAGE("https://raw.githubusercontent.com/stautonico/pokemon-home-pokedex/main/sprites/toxtricity-low-key.png", 2)</f>
        <v>0</v>
      </c>
      <c r="E1134" s="5" t="s">
        <v>806</v>
      </c>
      <c r="F1134" s="5" t="s">
        <v>806</v>
      </c>
    </row>
    <row r="1135" spans="1:6" ht="72" customHeight="1">
      <c r="A1135" s="1" t="s">
        <v>27</v>
      </c>
      <c r="B1135" s="1">
        <v>854</v>
      </c>
      <c r="C1135" s="1" t="s">
        <v>1165</v>
      </c>
      <c r="D1135">
        <f>IMAGE("https://raw.githubusercontent.com/stautonico/pokemon-home-pokedex/main/sprites/sinistea-antique.png", 2)</f>
        <v>0</v>
      </c>
      <c r="E1135" s="5" t="s">
        <v>806</v>
      </c>
      <c r="F1135" s="5" t="s">
        <v>806</v>
      </c>
    </row>
    <row r="1136" spans="1:6" ht="72" customHeight="1">
      <c r="A1136" s="1" t="s">
        <v>27</v>
      </c>
      <c r="B1136" s="1">
        <v>855</v>
      </c>
      <c r="C1136" s="1" t="s">
        <v>1166</v>
      </c>
      <c r="D1136">
        <f>IMAGE("https://raw.githubusercontent.com/stautonico/pokemon-home-pokedex/main/sprites/polteageist-antique.png", 2)</f>
        <v>0</v>
      </c>
      <c r="E1136" s="5" t="s">
        <v>806</v>
      </c>
      <c r="F1136" s="5" t="s">
        <v>806</v>
      </c>
    </row>
    <row r="1137" spans="1:6" ht="72" customHeight="1">
      <c r="A1137" s="1" t="s">
        <v>27</v>
      </c>
      <c r="B1137" s="1">
        <v>10191</v>
      </c>
      <c r="C1137" s="1" t="s">
        <v>1167</v>
      </c>
      <c r="D1137">
        <f>IMAGE("https://raw.githubusercontent.com/stautonico/pokemon-home-pokedex/main/sprites/urshifu-rapid-strike.png", 2)</f>
        <v>0</v>
      </c>
      <c r="E1137" s="5" t="s">
        <v>806</v>
      </c>
      <c r="F1137" s="5" t="s">
        <v>806</v>
      </c>
    </row>
    <row r="1138" spans="1:6" ht="72" customHeight="1">
      <c r="A1138" s="1" t="s">
        <v>27</v>
      </c>
      <c r="B1138" s="1">
        <v>10192</v>
      </c>
      <c r="C1138" s="1" t="s">
        <v>1168</v>
      </c>
      <c r="D1138">
        <f>IMAGE("https://raw.githubusercontent.com/stautonico/pokemon-home-pokedex/main/sprites/zarude-dada.png", 2)</f>
        <v>0</v>
      </c>
      <c r="E1138" s="5" t="s">
        <v>806</v>
      </c>
      <c r="F1138" s="5" t="s">
        <v>806</v>
      </c>
    </row>
    <row r="1139" spans="1:6" ht="72" customHeight="1">
      <c r="A1139" s="1" t="s">
        <v>27</v>
      </c>
      <c r="B1139" s="1">
        <v>10249</v>
      </c>
      <c r="C1139" s="1" t="s">
        <v>1169</v>
      </c>
      <c r="D1139">
        <f>IMAGE("https://raw.githubusercontent.com/stautonico/pokemon-home-pokedex/main/sprites/enamorus-therian.png", 2)</f>
        <v>0</v>
      </c>
      <c r="E1139" s="5" t="s">
        <v>806</v>
      </c>
      <c r="F1139" s="5" t="s">
        <v>806</v>
      </c>
    </row>
    <row r="1140" spans="1:6" ht="72" customHeight="1">
      <c r="A1140" s="1" t="s">
        <v>27</v>
      </c>
      <c r="B1140" s="1">
        <v>869</v>
      </c>
      <c r="C1140" s="1" t="s">
        <v>1170</v>
      </c>
      <c r="D1140">
        <f>IMAGE("https://raw.githubusercontent.com/stautonico/pokemon-home-pokedex/main/sprites/alcremie-vanilla-cream-berry.png", 2)</f>
        <v>0</v>
      </c>
      <c r="E1140" s="4" t="s">
        <v>13</v>
      </c>
      <c r="F1140" s="5"/>
    </row>
    <row r="1141" spans="1:6" ht="72" customHeight="1">
      <c r="A1141" s="1" t="s">
        <v>27</v>
      </c>
      <c r="B1141" s="1">
        <v>869</v>
      </c>
      <c r="C1141" s="1" t="s">
        <v>1171</v>
      </c>
      <c r="D1141">
        <f>IMAGE("https://raw.githubusercontent.com/stautonico/pokemon-home-pokedex/main/sprites/alcremie-vanilla-cream-love.png", 2)</f>
        <v>0</v>
      </c>
      <c r="E1141" s="4" t="s">
        <v>13</v>
      </c>
      <c r="F1141" s="5"/>
    </row>
    <row r="1142" spans="1:6" ht="72" customHeight="1">
      <c r="A1142" s="1" t="s">
        <v>27</v>
      </c>
      <c r="B1142" s="1">
        <v>869</v>
      </c>
      <c r="C1142" s="1" t="s">
        <v>1172</v>
      </c>
      <c r="D1142">
        <f>IMAGE("https://raw.githubusercontent.com/stautonico/pokemon-home-pokedex/main/sprites/alcremie-vanilla-cream-star.png", 2)</f>
        <v>0</v>
      </c>
      <c r="E1142" s="4" t="s">
        <v>13</v>
      </c>
      <c r="F1142" s="5"/>
    </row>
    <row r="1143" spans="1:6" ht="72" customHeight="1">
      <c r="A1143" s="1" t="s">
        <v>27</v>
      </c>
      <c r="B1143" s="1">
        <v>869</v>
      </c>
      <c r="C1143" s="1" t="s">
        <v>1173</v>
      </c>
      <c r="D1143">
        <f>IMAGE("https://raw.githubusercontent.com/stautonico/pokemon-home-pokedex/main/sprites/alcremie-vanilla-cream-clover.png", 2)</f>
        <v>0</v>
      </c>
      <c r="E1143" s="4" t="s">
        <v>13</v>
      </c>
      <c r="F1143" s="5"/>
    </row>
    <row r="1144" spans="1:6" ht="72" customHeight="1">
      <c r="A1144" s="1" t="s">
        <v>27</v>
      </c>
      <c r="B1144" s="1">
        <v>869</v>
      </c>
      <c r="C1144" s="1" t="s">
        <v>1174</v>
      </c>
      <c r="D1144">
        <f>IMAGE("https://raw.githubusercontent.com/stautonico/pokemon-home-pokedex/main/sprites/alcremie-vanilla-cream-flower.png", 2)</f>
        <v>0</v>
      </c>
      <c r="E1144" s="4" t="s">
        <v>13</v>
      </c>
      <c r="F1144" s="5"/>
    </row>
    <row r="1145" spans="1:6" ht="72" customHeight="1">
      <c r="A1145" s="1" t="s">
        <v>27</v>
      </c>
      <c r="B1145" s="1">
        <v>869</v>
      </c>
      <c r="C1145" s="1" t="s">
        <v>1175</v>
      </c>
      <c r="D1145">
        <f>IMAGE("https://raw.githubusercontent.com/stautonico/pokemon-home-pokedex/main/sprites/alcremie-vanilla-cream-ribbon.png", 2)</f>
        <v>0</v>
      </c>
      <c r="E1145" s="4" t="s">
        <v>13</v>
      </c>
      <c r="F1145" s="5"/>
    </row>
    <row r="1146" spans="1:6" ht="72" customHeight="1">
      <c r="A1146" s="1" t="s">
        <v>27</v>
      </c>
      <c r="B1146" s="1">
        <v>869</v>
      </c>
      <c r="C1146" s="1" t="s">
        <v>1176</v>
      </c>
      <c r="D1146">
        <f>IMAGE("https://raw.githubusercontent.com/stautonico/pokemon-home-pokedex/main/sprites/alcremie-ruby-cream-strawberry.png", 2)</f>
        <v>0</v>
      </c>
      <c r="E1146" s="4" t="s">
        <v>13</v>
      </c>
      <c r="F1146" s="5"/>
    </row>
    <row r="1147" spans="1:6" ht="72" customHeight="1">
      <c r="A1147" s="1" t="s">
        <v>27</v>
      </c>
      <c r="B1147" s="1">
        <v>869</v>
      </c>
      <c r="C1147" s="1" t="s">
        <v>1177</v>
      </c>
      <c r="D1147">
        <f>IMAGE("https://raw.githubusercontent.com/stautonico/pokemon-home-pokedex/main/sprites/alcremie-ruby-cream-berry.png", 2)</f>
        <v>0</v>
      </c>
      <c r="E1147" s="4" t="s">
        <v>13</v>
      </c>
      <c r="F1147" s="5"/>
    </row>
    <row r="1148" spans="1:6" ht="72" customHeight="1">
      <c r="A1148" s="1" t="s">
        <v>27</v>
      </c>
      <c r="B1148" s="1">
        <v>869</v>
      </c>
      <c r="C1148" s="1" t="s">
        <v>1178</v>
      </c>
      <c r="D1148">
        <f>IMAGE("https://raw.githubusercontent.com/stautonico/pokemon-home-pokedex/main/sprites/alcremie-ruby-cream-love.png", 2)</f>
        <v>0</v>
      </c>
      <c r="E1148" s="4" t="s">
        <v>13</v>
      </c>
      <c r="F1148" s="5"/>
    </row>
    <row r="1149" spans="1:6" ht="72" customHeight="1">
      <c r="A1149" s="1" t="s">
        <v>27</v>
      </c>
      <c r="B1149" s="1">
        <v>869</v>
      </c>
      <c r="C1149" s="1" t="s">
        <v>1179</v>
      </c>
      <c r="D1149">
        <f>IMAGE("https://raw.githubusercontent.com/stautonico/pokemon-home-pokedex/main/sprites/alcremie-ruby-cream-star.png", 2)</f>
        <v>0</v>
      </c>
      <c r="E1149" s="4" t="s">
        <v>13</v>
      </c>
      <c r="F1149" s="5"/>
    </row>
    <row r="1150" spans="1:6" ht="72" customHeight="1">
      <c r="A1150" s="1" t="s">
        <v>27</v>
      </c>
      <c r="B1150" s="1">
        <v>869</v>
      </c>
      <c r="C1150" s="1" t="s">
        <v>1180</v>
      </c>
      <c r="D1150">
        <f>IMAGE("https://raw.githubusercontent.com/stautonico/pokemon-home-pokedex/main/sprites/alcremie-ruby-cream-clover.png", 2)</f>
        <v>0</v>
      </c>
      <c r="E1150" s="4" t="s">
        <v>13</v>
      </c>
      <c r="F1150" s="5"/>
    </row>
    <row r="1151" spans="1:6" ht="72" customHeight="1">
      <c r="A1151" s="1" t="s">
        <v>27</v>
      </c>
      <c r="B1151" s="1">
        <v>869</v>
      </c>
      <c r="C1151" s="1" t="s">
        <v>1181</v>
      </c>
      <c r="D1151">
        <f>IMAGE("https://raw.githubusercontent.com/stautonico/pokemon-home-pokedex/main/sprites/alcremie-ruby-cream-flower.png", 2)</f>
        <v>0</v>
      </c>
      <c r="E1151" s="4" t="s">
        <v>13</v>
      </c>
      <c r="F1151" s="5"/>
    </row>
    <row r="1152" spans="1:6" ht="72" customHeight="1">
      <c r="A1152" s="1" t="s">
        <v>27</v>
      </c>
      <c r="B1152" s="1">
        <v>869</v>
      </c>
      <c r="C1152" s="1" t="s">
        <v>1182</v>
      </c>
      <c r="D1152">
        <f>IMAGE("https://raw.githubusercontent.com/stautonico/pokemon-home-pokedex/main/sprites/alcremie-ruby-cream-ribbon.png", 2)</f>
        <v>0</v>
      </c>
      <c r="E1152" s="4" t="s">
        <v>13</v>
      </c>
      <c r="F1152" s="5"/>
    </row>
    <row r="1153" spans="1:6" ht="72" customHeight="1">
      <c r="A1153" s="1" t="s">
        <v>27</v>
      </c>
      <c r="B1153" s="1">
        <v>869</v>
      </c>
      <c r="C1153" s="1" t="s">
        <v>1183</v>
      </c>
      <c r="D1153">
        <f>IMAGE("https://raw.githubusercontent.com/stautonico/pokemon-home-pokedex/main/sprites/alcremie-matcha-cream-strawberry.png", 2)</f>
        <v>0</v>
      </c>
      <c r="E1153" s="4" t="s">
        <v>13</v>
      </c>
      <c r="F1153" s="5"/>
    </row>
    <row r="1154" spans="1:6" ht="72" customHeight="1">
      <c r="A1154" s="1" t="s">
        <v>27</v>
      </c>
      <c r="B1154" s="1">
        <v>869</v>
      </c>
      <c r="C1154" s="1" t="s">
        <v>1184</v>
      </c>
      <c r="D1154">
        <f>IMAGE("https://raw.githubusercontent.com/stautonico/pokemon-home-pokedex/main/sprites/alcremie-matcha-cream-berry.png", 2)</f>
        <v>0</v>
      </c>
      <c r="E1154" s="4" t="s">
        <v>13</v>
      </c>
      <c r="F1154" s="5"/>
    </row>
    <row r="1155" spans="1:6" ht="72" customHeight="1">
      <c r="A1155" s="1" t="s">
        <v>27</v>
      </c>
      <c r="B1155" s="1">
        <v>869</v>
      </c>
      <c r="C1155" s="1" t="s">
        <v>1185</v>
      </c>
      <c r="D1155">
        <f>IMAGE("https://raw.githubusercontent.com/stautonico/pokemon-home-pokedex/main/sprites/alcremie-matcha-cream-love.png", 2)</f>
        <v>0</v>
      </c>
      <c r="E1155" s="4" t="s">
        <v>13</v>
      </c>
      <c r="F1155" s="5"/>
    </row>
    <row r="1156" spans="1:6" ht="72" customHeight="1">
      <c r="A1156" s="1" t="s">
        <v>27</v>
      </c>
      <c r="B1156" s="1">
        <v>869</v>
      </c>
      <c r="C1156" s="1" t="s">
        <v>1186</v>
      </c>
      <c r="D1156">
        <f>IMAGE("https://raw.githubusercontent.com/stautonico/pokemon-home-pokedex/main/sprites/alcremie-matcha-cream-star.png", 2)</f>
        <v>0</v>
      </c>
      <c r="E1156" s="4" t="s">
        <v>13</v>
      </c>
      <c r="F1156" s="5"/>
    </row>
    <row r="1157" spans="1:6" ht="72" customHeight="1">
      <c r="A1157" s="1" t="s">
        <v>27</v>
      </c>
      <c r="B1157" s="1">
        <v>869</v>
      </c>
      <c r="C1157" s="1" t="s">
        <v>1187</v>
      </c>
      <c r="D1157">
        <f>IMAGE("https://raw.githubusercontent.com/stautonico/pokemon-home-pokedex/main/sprites/alcremie-matcha-cream-clover.png", 2)</f>
        <v>0</v>
      </c>
      <c r="E1157" s="4" t="s">
        <v>13</v>
      </c>
      <c r="F1157" s="5"/>
    </row>
    <row r="1158" spans="1:6" ht="72" customHeight="1">
      <c r="A1158" s="1" t="s">
        <v>27</v>
      </c>
      <c r="B1158" s="1">
        <v>869</v>
      </c>
      <c r="C1158" s="1" t="s">
        <v>1188</v>
      </c>
      <c r="D1158">
        <f>IMAGE("https://raw.githubusercontent.com/stautonico/pokemon-home-pokedex/main/sprites/alcremie-matcha-cream-flower.png", 2)</f>
        <v>0</v>
      </c>
      <c r="E1158" s="4" t="s">
        <v>13</v>
      </c>
      <c r="F1158" s="5"/>
    </row>
    <row r="1159" spans="1:6" ht="72" customHeight="1">
      <c r="A1159" s="1" t="s">
        <v>27</v>
      </c>
      <c r="B1159" s="1">
        <v>869</v>
      </c>
      <c r="C1159" s="1" t="s">
        <v>1189</v>
      </c>
      <c r="D1159">
        <f>IMAGE("https://raw.githubusercontent.com/stautonico/pokemon-home-pokedex/main/sprites/alcremie-matcha-cream-ribbon.png", 2)</f>
        <v>0</v>
      </c>
      <c r="E1159" s="4" t="s">
        <v>13</v>
      </c>
      <c r="F1159" s="5"/>
    </row>
    <row r="1160" spans="1:6" ht="72" customHeight="1">
      <c r="A1160" s="1" t="s">
        <v>27</v>
      </c>
      <c r="B1160" s="1">
        <v>869</v>
      </c>
      <c r="C1160" s="1" t="s">
        <v>1190</v>
      </c>
      <c r="D1160">
        <f>IMAGE("https://raw.githubusercontent.com/stautonico/pokemon-home-pokedex/main/sprites/alcremie-mint-cream-strawberry.png", 2)</f>
        <v>0</v>
      </c>
      <c r="E1160" s="4" t="s">
        <v>13</v>
      </c>
      <c r="F1160" s="5"/>
    </row>
    <row r="1161" spans="1:6" ht="72" customHeight="1">
      <c r="A1161" s="1" t="s">
        <v>27</v>
      </c>
      <c r="B1161" s="1">
        <v>869</v>
      </c>
      <c r="C1161" s="1" t="s">
        <v>1191</v>
      </c>
      <c r="D1161">
        <f>IMAGE("https://raw.githubusercontent.com/stautonico/pokemon-home-pokedex/main/sprites/alcremie-mint-cream-berry.png", 2)</f>
        <v>0</v>
      </c>
      <c r="E1161" s="4" t="s">
        <v>13</v>
      </c>
      <c r="F1161" s="5"/>
    </row>
    <row r="1162" spans="1:6" ht="72" customHeight="1">
      <c r="A1162" s="1" t="s">
        <v>27</v>
      </c>
      <c r="B1162" s="1">
        <v>869</v>
      </c>
      <c r="C1162" s="1" t="s">
        <v>1192</v>
      </c>
      <c r="D1162">
        <f>IMAGE("https://raw.githubusercontent.com/stautonico/pokemon-home-pokedex/main/sprites/alcremie-mint-cream-love.png", 2)</f>
        <v>0</v>
      </c>
      <c r="E1162" s="4" t="s">
        <v>13</v>
      </c>
      <c r="F1162" s="5"/>
    </row>
    <row r="1163" spans="1:6" ht="72" customHeight="1">
      <c r="A1163" s="1" t="s">
        <v>27</v>
      </c>
      <c r="B1163" s="1">
        <v>869</v>
      </c>
      <c r="C1163" s="1" t="s">
        <v>1193</v>
      </c>
      <c r="D1163">
        <f>IMAGE("https://raw.githubusercontent.com/stautonico/pokemon-home-pokedex/main/sprites/alcremie-mint-cream-star.png", 2)</f>
        <v>0</v>
      </c>
      <c r="E1163" s="4" t="s">
        <v>13</v>
      </c>
      <c r="F1163" s="5"/>
    </row>
    <row r="1164" spans="1:6" ht="72" customHeight="1">
      <c r="A1164" s="1" t="s">
        <v>27</v>
      </c>
      <c r="B1164" s="1">
        <v>869</v>
      </c>
      <c r="C1164" s="1" t="s">
        <v>1194</v>
      </c>
      <c r="D1164">
        <f>IMAGE("https://raw.githubusercontent.com/stautonico/pokemon-home-pokedex/main/sprites/alcremie-mint-cream-clover.png", 2)</f>
        <v>0</v>
      </c>
      <c r="E1164" s="4" t="s">
        <v>13</v>
      </c>
      <c r="F1164" s="5"/>
    </row>
    <row r="1165" spans="1:6" ht="72" customHeight="1">
      <c r="A1165" s="1" t="s">
        <v>27</v>
      </c>
      <c r="B1165" s="1">
        <v>869</v>
      </c>
      <c r="C1165" s="1" t="s">
        <v>1195</v>
      </c>
      <c r="D1165">
        <f>IMAGE("https://raw.githubusercontent.com/stautonico/pokemon-home-pokedex/main/sprites/alcremie-mint-cream-flower.png", 2)</f>
        <v>0</v>
      </c>
      <c r="E1165" s="4" t="s">
        <v>13</v>
      </c>
      <c r="F1165" s="5"/>
    </row>
    <row r="1166" spans="1:6" ht="72" customHeight="1">
      <c r="A1166" s="1" t="s">
        <v>27</v>
      </c>
      <c r="B1166" s="1">
        <v>869</v>
      </c>
      <c r="C1166" s="1" t="s">
        <v>1196</v>
      </c>
      <c r="D1166">
        <f>IMAGE("https://raw.githubusercontent.com/stautonico/pokemon-home-pokedex/main/sprites/alcremie-mint-cream-ribbon.png", 2)</f>
        <v>0</v>
      </c>
      <c r="E1166" s="4" t="s">
        <v>13</v>
      </c>
      <c r="F1166" s="5"/>
    </row>
    <row r="1167" spans="1:6" ht="72" customHeight="1">
      <c r="A1167" s="1" t="s">
        <v>27</v>
      </c>
      <c r="B1167" s="1">
        <v>869</v>
      </c>
      <c r="C1167" s="1" t="s">
        <v>1197</v>
      </c>
      <c r="D1167">
        <f>IMAGE("https://raw.githubusercontent.com/stautonico/pokemon-home-pokedex/main/sprites/alcremie-lemon-cream-strawberry.png", 2)</f>
        <v>0</v>
      </c>
      <c r="E1167" s="4" t="s">
        <v>13</v>
      </c>
      <c r="F1167" s="5"/>
    </row>
    <row r="1168" spans="1:6" ht="72" customHeight="1">
      <c r="A1168" s="1" t="s">
        <v>27</v>
      </c>
      <c r="B1168" s="1">
        <v>869</v>
      </c>
      <c r="C1168" s="1" t="s">
        <v>1198</v>
      </c>
      <c r="D1168">
        <f>IMAGE("https://raw.githubusercontent.com/stautonico/pokemon-home-pokedex/main/sprites/alcremie-lemon-cream-berry.png", 2)</f>
        <v>0</v>
      </c>
      <c r="E1168" s="4" t="s">
        <v>13</v>
      </c>
      <c r="F1168" s="5"/>
    </row>
    <row r="1169" spans="1:6" ht="72" customHeight="1">
      <c r="A1169" s="1" t="s">
        <v>27</v>
      </c>
      <c r="B1169" s="1">
        <v>869</v>
      </c>
      <c r="C1169" s="1" t="s">
        <v>1199</v>
      </c>
      <c r="D1169">
        <f>IMAGE("https://raw.githubusercontent.com/stautonico/pokemon-home-pokedex/main/sprites/alcremie-lemon-cream-love.png", 2)</f>
        <v>0</v>
      </c>
      <c r="E1169" s="4" t="s">
        <v>13</v>
      </c>
      <c r="F1169" s="5"/>
    </row>
    <row r="1170" spans="1:6" ht="72" customHeight="1">
      <c r="A1170" s="1" t="s">
        <v>27</v>
      </c>
      <c r="B1170" s="1">
        <v>869</v>
      </c>
      <c r="C1170" s="1" t="s">
        <v>1200</v>
      </c>
      <c r="D1170">
        <f>IMAGE("https://raw.githubusercontent.com/stautonico/pokemon-home-pokedex/main/sprites/alcremie-lemon-cream-star.png", 2)</f>
        <v>0</v>
      </c>
      <c r="E1170" s="4" t="s">
        <v>13</v>
      </c>
      <c r="F1170" s="5"/>
    </row>
    <row r="1171" spans="1:6" ht="72" customHeight="1">
      <c r="A1171" s="1" t="s">
        <v>27</v>
      </c>
      <c r="B1171" s="1">
        <v>869</v>
      </c>
      <c r="C1171" s="1" t="s">
        <v>1201</v>
      </c>
      <c r="D1171">
        <f>IMAGE("https://raw.githubusercontent.com/stautonico/pokemon-home-pokedex/main/sprites/alcremie-lemon-cream-clover.png", 2)</f>
        <v>0</v>
      </c>
      <c r="E1171" s="4" t="s">
        <v>13</v>
      </c>
      <c r="F1171" s="5"/>
    </row>
    <row r="1172" spans="1:6" ht="72" customHeight="1">
      <c r="A1172" s="1" t="s">
        <v>27</v>
      </c>
      <c r="B1172" s="1">
        <v>869</v>
      </c>
      <c r="C1172" s="1" t="s">
        <v>1202</v>
      </c>
      <c r="D1172">
        <f>IMAGE("https://raw.githubusercontent.com/stautonico/pokemon-home-pokedex/main/sprites/alcremie-lemon-cream-flower.png", 2)</f>
        <v>0</v>
      </c>
      <c r="E1172" s="4" t="s">
        <v>13</v>
      </c>
      <c r="F1172" s="5"/>
    </row>
    <row r="1173" spans="1:6" ht="72" customHeight="1">
      <c r="A1173" s="1" t="s">
        <v>27</v>
      </c>
      <c r="B1173" s="1">
        <v>869</v>
      </c>
      <c r="C1173" s="1" t="s">
        <v>1203</v>
      </c>
      <c r="D1173">
        <f>IMAGE("https://raw.githubusercontent.com/stautonico/pokemon-home-pokedex/main/sprites/alcremie-lemon-cream-ribbon.png", 2)</f>
        <v>0</v>
      </c>
      <c r="E1173" s="4" t="s">
        <v>13</v>
      </c>
      <c r="F1173" s="5"/>
    </row>
    <row r="1174" spans="1:6" ht="72" customHeight="1">
      <c r="A1174" s="1" t="s">
        <v>27</v>
      </c>
      <c r="B1174" s="1">
        <v>869</v>
      </c>
      <c r="C1174" s="1" t="s">
        <v>1204</v>
      </c>
      <c r="D1174">
        <f>IMAGE("https://raw.githubusercontent.com/stautonico/pokemon-home-pokedex/main/sprites/alcremie-salted-cream-strawberry.png", 2)</f>
        <v>0</v>
      </c>
      <c r="E1174" s="4" t="s">
        <v>13</v>
      </c>
      <c r="F1174" s="5"/>
    </row>
    <row r="1175" spans="1:6" ht="72" customHeight="1">
      <c r="A1175" s="1" t="s">
        <v>27</v>
      </c>
      <c r="B1175" s="1">
        <v>869</v>
      </c>
      <c r="C1175" s="1" t="s">
        <v>1205</v>
      </c>
      <c r="D1175">
        <f>IMAGE("https://raw.githubusercontent.com/stautonico/pokemon-home-pokedex/main/sprites/alcremie-salted-cream-berry.png", 2)</f>
        <v>0</v>
      </c>
      <c r="E1175" s="4" t="s">
        <v>13</v>
      </c>
      <c r="F1175" s="5"/>
    </row>
    <row r="1176" spans="1:6" ht="72" customHeight="1">
      <c r="A1176" s="1" t="s">
        <v>27</v>
      </c>
      <c r="B1176" s="1">
        <v>869</v>
      </c>
      <c r="C1176" s="1" t="s">
        <v>1206</v>
      </c>
      <c r="D1176">
        <f>IMAGE("https://raw.githubusercontent.com/stautonico/pokemon-home-pokedex/main/sprites/alcremie-salted-cream-love.png", 2)</f>
        <v>0</v>
      </c>
      <c r="E1176" s="4" t="s">
        <v>13</v>
      </c>
      <c r="F1176" s="5"/>
    </row>
    <row r="1177" spans="1:6" ht="72" customHeight="1">
      <c r="A1177" s="1" t="s">
        <v>27</v>
      </c>
      <c r="B1177" s="1">
        <v>869</v>
      </c>
      <c r="C1177" s="1" t="s">
        <v>1207</v>
      </c>
      <c r="D1177">
        <f>IMAGE("https://raw.githubusercontent.com/stautonico/pokemon-home-pokedex/main/sprites/alcremie-salted-cream-star.png", 2)</f>
        <v>0</v>
      </c>
      <c r="E1177" s="4" t="s">
        <v>13</v>
      </c>
      <c r="F1177" s="5"/>
    </row>
    <row r="1178" spans="1:6" ht="72" customHeight="1">
      <c r="A1178" s="1" t="s">
        <v>27</v>
      </c>
      <c r="B1178" s="1">
        <v>869</v>
      </c>
      <c r="C1178" s="1" t="s">
        <v>1208</v>
      </c>
      <c r="D1178">
        <f>IMAGE("https://raw.githubusercontent.com/stautonico/pokemon-home-pokedex/main/sprites/alcremie-salted-cream-clover.png", 2)</f>
        <v>0</v>
      </c>
      <c r="E1178" s="4" t="s">
        <v>13</v>
      </c>
      <c r="F1178" s="5"/>
    </row>
    <row r="1179" spans="1:6" ht="72" customHeight="1">
      <c r="A1179" s="1" t="s">
        <v>27</v>
      </c>
      <c r="B1179" s="1">
        <v>869</v>
      </c>
      <c r="C1179" s="1" t="s">
        <v>1209</v>
      </c>
      <c r="D1179">
        <f>IMAGE("https://raw.githubusercontent.com/stautonico/pokemon-home-pokedex/main/sprites/alcremie-salted-cream-flower.png", 2)</f>
        <v>0</v>
      </c>
      <c r="E1179" s="4" t="s">
        <v>13</v>
      </c>
      <c r="F1179" s="5"/>
    </row>
    <row r="1180" spans="1:6" ht="72" customHeight="1">
      <c r="A1180" s="1" t="s">
        <v>27</v>
      </c>
      <c r="B1180" s="1">
        <v>869</v>
      </c>
      <c r="C1180" s="1" t="s">
        <v>1210</v>
      </c>
      <c r="D1180">
        <f>IMAGE("https://raw.githubusercontent.com/stautonico/pokemon-home-pokedex/main/sprites/alcremie-salted-cream-ribbon.png", 2)</f>
        <v>0</v>
      </c>
      <c r="E1180" s="4" t="s">
        <v>13</v>
      </c>
      <c r="F1180" s="5"/>
    </row>
    <row r="1181" spans="1:6" ht="72" customHeight="1">
      <c r="A1181" s="1" t="s">
        <v>27</v>
      </c>
      <c r="B1181" s="1">
        <v>869</v>
      </c>
      <c r="C1181" s="1" t="s">
        <v>1211</v>
      </c>
      <c r="D1181">
        <f>IMAGE("https://raw.githubusercontent.com/stautonico/pokemon-home-pokedex/main/sprites/alcremie-ruby-swirl-strawberry.png", 2)</f>
        <v>0</v>
      </c>
      <c r="E1181" s="4" t="s">
        <v>13</v>
      </c>
      <c r="F1181" s="5"/>
    </row>
    <row r="1182" spans="1:6" ht="72" customHeight="1">
      <c r="A1182" s="1" t="s">
        <v>27</v>
      </c>
      <c r="B1182" s="1">
        <v>869</v>
      </c>
      <c r="C1182" s="1" t="s">
        <v>1212</v>
      </c>
      <c r="D1182">
        <f>IMAGE("https://raw.githubusercontent.com/stautonico/pokemon-home-pokedex/main/sprites/alcremie-ruby-swirl-berry.png", 2)</f>
        <v>0</v>
      </c>
      <c r="E1182" s="4" t="s">
        <v>13</v>
      </c>
      <c r="F1182" s="5"/>
    </row>
    <row r="1183" spans="1:6" ht="72" customHeight="1">
      <c r="A1183" s="1" t="s">
        <v>27</v>
      </c>
      <c r="B1183" s="1">
        <v>869</v>
      </c>
      <c r="C1183" s="1" t="s">
        <v>1213</v>
      </c>
      <c r="D1183">
        <f>IMAGE("https://raw.githubusercontent.com/stautonico/pokemon-home-pokedex/main/sprites/alcremie-ruby-swirl-love.png", 2)</f>
        <v>0</v>
      </c>
      <c r="E1183" s="4" t="s">
        <v>13</v>
      </c>
      <c r="F1183" s="5"/>
    </row>
    <row r="1184" spans="1:6" ht="72" customHeight="1">
      <c r="A1184" s="1" t="s">
        <v>27</v>
      </c>
      <c r="B1184" s="1">
        <v>869</v>
      </c>
      <c r="C1184" s="1" t="s">
        <v>1214</v>
      </c>
      <c r="D1184">
        <f>IMAGE("https://raw.githubusercontent.com/stautonico/pokemon-home-pokedex/main/sprites/alcremie-ruby-swirl-star.png", 2)</f>
        <v>0</v>
      </c>
      <c r="E1184" s="4" t="s">
        <v>13</v>
      </c>
      <c r="F1184" s="5"/>
    </row>
    <row r="1185" spans="1:6" ht="72" customHeight="1">
      <c r="A1185" s="1" t="s">
        <v>27</v>
      </c>
      <c r="B1185" s="1">
        <v>869</v>
      </c>
      <c r="C1185" s="1" t="s">
        <v>1215</v>
      </c>
      <c r="D1185">
        <f>IMAGE("https://raw.githubusercontent.com/stautonico/pokemon-home-pokedex/main/sprites/alcremie-ruby-swirl-clover.png", 2)</f>
        <v>0</v>
      </c>
      <c r="E1185" s="4" t="s">
        <v>13</v>
      </c>
      <c r="F1185" s="5"/>
    </row>
    <row r="1186" spans="1:6" ht="72" customHeight="1">
      <c r="A1186" s="1" t="s">
        <v>27</v>
      </c>
      <c r="B1186" s="1">
        <v>869</v>
      </c>
      <c r="C1186" s="1" t="s">
        <v>1216</v>
      </c>
      <c r="D1186">
        <f>IMAGE("https://raw.githubusercontent.com/stautonico/pokemon-home-pokedex/main/sprites/alcremie-ruby-swirl-flower.png", 2)</f>
        <v>0</v>
      </c>
      <c r="E1186" s="4" t="s">
        <v>13</v>
      </c>
      <c r="F1186" s="5"/>
    </row>
    <row r="1187" spans="1:6" ht="72" customHeight="1">
      <c r="A1187" s="1" t="s">
        <v>27</v>
      </c>
      <c r="B1187" s="1">
        <v>869</v>
      </c>
      <c r="C1187" s="1" t="s">
        <v>1217</v>
      </c>
      <c r="D1187">
        <f>IMAGE("https://raw.githubusercontent.com/stautonico/pokemon-home-pokedex/main/sprites/alcremie-ruby-swirl-ribbon.png", 2)</f>
        <v>0</v>
      </c>
      <c r="E1187" s="4" t="s">
        <v>13</v>
      </c>
      <c r="F1187" s="5"/>
    </row>
    <row r="1188" spans="1:6" ht="72" customHeight="1">
      <c r="A1188" s="1" t="s">
        <v>27</v>
      </c>
      <c r="B1188" s="1">
        <v>869</v>
      </c>
      <c r="C1188" s="1" t="s">
        <v>1218</v>
      </c>
      <c r="D1188">
        <f>IMAGE("https://raw.githubusercontent.com/stautonico/pokemon-home-pokedex/main/sprites/alcremie-caramel-swirl-strawberry.png", 2)</f>
        <v>0</v>
      </c>
      <c r="E1188" s="4" t="s">
        <v>13</v>
      </c>
      <c r="F1188" s="5"/>
    </row>
    <row r="1189" spans="1:6" ht="72" customHeight="1">
      <c r="A1189" s="1" t="s">
        <v>27</v>
      </c>
      <c r="B1189" s="1">
        <v>869</v>
      </c>
      <c r="C1189" s="1" t="s">
        <v>1219</v>
      </c>
      <c r="D1189">
        <f>IMAGE("https://raw.githubusercontent.com/stautonico/pokemon-home-pokedex/main/sprites/alcremie-caramel-swirl-berry.png", 2)</f>
        <v>0</v>
      </c>
      <c r="E1189" s="4" t="s">
        <v>13</v>
      </c>
      <c r="F1189" s="5"/>
    </row>
    <row r="1190" spans="1:6" ht="72" customHeight="1">
      <c r="A1190" s="1" t="s">
        <v>27</v>
      </c>
      <c r="B1190" s="1">
        <v>869</v>
      </c>
      <c r="C1190" s="1" t="s">
        <v>1220</v>
      </c>
      <c r="D1190">
        <f>IMAGE("https://raw.githubusercontent.com/stautonico/pokemon-home-pokedex/main/sprites/alcremie-caramel-swirl-love.png", 2)</f>
        <v>0</v>
      </c>
      <c r="E1190" s="4" t="s">
        <v>13</v>
      </c>
      <c r="F1190" s="5"/>
    </row>
    <row r="1191" spans="1:6" ht="72" customHeight="1">
      <c r="A1191" s="1" t="s">
        <v>27</v>
      </c>
      <c r="B1191" s="1">
        <v>869</v>
      </c>
      <c r="C1191" s="1" t="s">
        <v>1221</v>
      </c>
      <c r="D1191">
        <f>IMAGE("https://raw.githubusercontent.com/stautonico/pokemon-home-pokedex/main/sprites/alcremie-caramel-swirl-star.png", 2)</f>
        <v>0</v>
      </c>
      <c r="E1191" s="4" t="s">
        <v>13</v>
      </c>
      <c r="F1191" s="5"/>
    </row>
    <row r="1192" spans="1:6" ht="72" customHeight="1">
      <c r="A1192" s="1" t="s">
        <v>27</v>
      </c>
      <c r="B1192" s="1">
        <v>869</v>
      </c>
      <c r="C1192" s="1" t="s">
        <v>1222</v>
      </c>
      <c r="D1192">
        <f>IMAGE("https://raw.githubusercontent.com/stautonico/pokemon-home-pokedex/main/sprites/alcremie-caramel-swirl-clover.png", 2)</f>
        <v>0</v>
      </c>
      <c r="E1192" s="4" t="s">
        <v>13</v>
      </c>
      <c r="F1192" s="5"/>
    </row>
    <row r="1193" spans="1:6" ht="72" customHeight="1">
      <c r="A1193" s="1" t="s">
        <v>27</v>
      </c>
      <c r="B1193" s="1">
        <v>869</v>
      </c>
      <c r="C1193" s="1" t="s">
        <v>1223</v>
      </c>
      <c r="D1193">
        <f>IMAGE("https://raw.githubusercontent.com/stautonico/pokemon-home-pokedex/main/sprites/alcremie-caramel-swirl-flower.png", 2)</f>
        <v>0</v>
      </c>
      <c r="E1193" s="4" t="s">
        <v>13</v>
      </c>
      <c r="F1193" s="5"/>
    </row>
    <row r="1194" spans="1:6" ht="72" customHeight="1">
      <c r="A1194" s="1" t="s">
        <v>27</v>
      </c>
      <c r="B1194" s="1">
        <v>869</v>
      </c>
      <c r="C1194" s="1" t="s">
        <v>1224</v>
      </c>
      <c r="D1194">
        <f>IMAGE("https://raw.githubusercontent.com/stautonico/pokemon-home-pokedex/main/sprites/alcremie-caramel-swirl-ribbon.png", 2)</f>
        <v>0</v>
      </c>
      <c r="E1194" s="4" t="s">
        <v>13</v>
      </c>
      <c r="F1194" s="5"/>
    </row>
    <row r="1195" spans="1:6" ht="72" customHeight="1">
      <c r="A1195" s="1" t="s">
        <v>27</v>
      </c>
      <c r="B1195" s="1">
        <v>869</v>
      </c>
      <c r="C1195" s="1" t="s">
        <v>1225</v>
      </c>
      <c r="D1195">
        <f>IMAGE("https://raw.githubusercontent.com/stautonico/pokemon-home-pokedex/main/sprites/alcremie-rainbow-swirl-strawberry.png", 2)</f>
        <v>0</v>
      </c>
      <c r="E1195" s="4" t="s">
        <v>13</v>
      </c>
      <c r="F1195" s="5"/>
    </row>
    <row r="1196" spans="1:6" ht="72" customHeight="1">
      <c r="A1196" s="1" t="s">
        <v>27</v>
      </c>
      <c r="B1196" s="1">
        <v>869</v>
      </c>
      <c r="C1196" s="1" t="s">
        <v>1226</v>
      </c>
      <c r="D1196">
        <f>IMAGE("https://raw.githubusercontent.com/stautonico/pokemon-home-pokedex/main/sprites/alcremie-rainbow-swirl-berry.png", 2)</f>
        <v>0</v>
      </c>
      <c r="E1196" s="4" t="s">
        <v>13</v>
      </c>
      <c r="F1196" s="5"/>
    </row>
    <row r="1197" spans="1:6" ht="72" customHeight="1">
      <c r="A1197" s="1" t="s">
        <v>27</v>
      </c>
      <c r="B1197" s="1">
        <v>869</v>
      </c>
      <c r="C1197" s="1" t="s">
        <v>1227</v>
      </c>
      <c r="D1197">
        <f>IMAGE("https://raw.githubusercontent.com/stautonico/pokemon-home-pokedex/main/sprites/alcremie-rainbow-swirl-love.png", 2)</f>
        <v>0</v>
      </c>
      <c r="E1197" s="4" t="s">
        <v>13</v>
      </c>
      <c r="F1197" s="5"/>
    </row>
    <row r="1198" spans="1:6" ht="72" customHeight="1">
      <c r="A1198" s="1" t="s">
        <v>27</v>
      </c>
      <c r="B1198" s="1">
        <v>869</v>
      </c>
      <c r="C1198" s="1" t="s">
        <v>1228</v>
      </c>
      <c r="D1198">
        <f>IMAGE("https://raw.githubusercontent.com/stautonico/pokemon-home-pokedex/main/sprites/alcremie-rainbow-swirl-star.png", 2)</f>
        <v>0</v>
      </c>
      <c r="E1198" s="4" t="s">
        <v>13</v>
      </c>
      <c r="F1198" s="5"/>
    </row>
    <row r="1199" spans="1:6" ht="72" customHeight="1">
      <c r="A1199" s="1" t="s">
        <v>27</v>
      </c>
      <c r="B1199" s="1">
        <v>869</v>
      </c>
      <c r="C1199" s="1" t="s">
        <v>1229</v>
      </c>
      <c r="D1199">
        <f>IMAGE("https://raw.githubusercontent.com/stautonico/pokemon-home-pokedex/main/sprites/alcremie-rainbow-swirl-clover.png", 2)</f>
        <v>0</v>
      </c>
      <c r="E1199" s="4" t="s">
        <v>13</v>
      </c>
      <c r="F1199" s="5"/>
    </row>
    <row r="1200" spans="1:6" ht="72" customHeight="1">
      <c r="A1200" s="1" t="s">
        <v>27</v>
      </c>
      <c r="B1200" s="1">
        <v>869</v>
      </c>
      <c r="C1200" s="1" t="s">
        <v>1230</v>
      </c>
      <c r="D1200">
        <f>IMAGE("https://raw.githubusercontent.com/stautonico/pokemon-home-pokedex/main/sprites/alcremie-rainbow-swirl-flower.png", 2)</f>
        <v>0</v>
      </c>
      <c r="E1200" s="4" t="s">
        <v>13</v>
      </c>
      <c r="F1200" s="5"/>
    </row>
    <row r="1201" spans="1:6" ht="72" customHeight="1">
      <c r="A1201" s="1" t="s">
        <v>27</v>
      </c>
      <c r="B1201" s="1">
        <v>869</v>
      </c>
      <c r="C1201" s="1" t="s">
        <v>1231</v>
      </c>
      <c r="D1201">
        <f>IMAGE("https://raw.githubusercontent.com/stautonico/pokemon-home-pokedex/main/sprites/alcremie-rainbow-swirl-ribbon.png", 2)</f>
        <v>0</v>
      </c>
      <c r="E1201" s="4" t="s">
        <v>13</v>
      </c>
      <c r="F1201" s="5"/>
    </row>
    <row r="1202" spans="1:6" ht="72" customHeight="1">
      <c r="A1202" s="1" t="s">
        <v>27</v>
      </c>
      <c r="B1202" s="1">
        <v>3</v>
      </c>
      <c r="C1202" s="1" t="s">
        <v>1232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27</v>
      </c>
      <c r="B1203" s="1">
        <v>3</v>
      </c>
      <c r="C1203" s="1" t="s">
        <v>1232</v>
      </c>
      <c r="D1203">
        <f>IMAGE("https://raw.githubusercontent.com/stautonico/pokemon-home-pokedex/main/sprites/venusaur-f.png", 2)</f>
        <v>0</v>
      </c>
      <c r="E1203" s="2" t="s">
        <v>9</v>
      </c>
      <c r="F1203" s="3" t="s">
        <v>12</v>
      </c>
    </row>
    <row r="1204" spans="1:6" ht="72" customHeight="1">
      <c r="A1204" s="1" t="s">
        <v>27</v>
      </c>
      <c r="B1204" s="1">
        <v>6</v>
      </c>
      <c r="C1204" s="1" t="s">
        <v>1233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27</v>
      </c>
      <c r="B1205" s="1">
        <v>9</v>
      </c>
      <c r="C1205" s="1" t="s">
        <v>1234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27</v>
      </c>
      <c r="B1206" s="1">
        <v>12</v>
      </c>
      <c r="C1206" s="1" t="s">
        <v>1235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27</v>
      </c>
      <c r="B1207" s="1">
        <v>12</v>
      </c>
      <c r="C1207" s="1" t="s">
        <v>1235</v>
      </c>
      <c r="D1207">
        <f>IMAGE("https://raw.githubusercontent.com/stautonico/pokemon-home-pokedex/main/sprites/butterfree-f.png", 2)</f>
        <v>0</v>
      </c>
      <c r="E1207" s="4" t="s">
        <v>13</v>
      </c>
      <c r="F1207" s="5"/>
    </row>
    <row r="1208" spans="1:6" ht="72" customHeight="1">
      <c r="A1208" s="1" t="s">
        <v>27</v>
      </c>
      <c r="B1208" s="1">
        <v>25</v>
      </c>
      <c r="C1208" s="1" t="s">
        <v>1236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27</v>
      </c>
      <c r="B1209" s="1">
        <v>25</v>
      </c>
      <c r="C1209" s="1" t="s">
        <v>1236</v>
      </c>
      <c r="D1209">
        <f>IMAGE("https://raw.githubusercontent.com/stautonico/pokemon-home-pokedex/main/sprites/pikachu-f.png", 2)</f>
        <v>0</v>
      </c>
      <c r="E1209" s="4" t="s">
        <v>13</v>
      </c>
      <c r="F1209" s="5"/>
    </row>
    <row r="1210" spans="1:6" ht="72" customHeight="1">
      <c r="A1210" s="1" t="s">
        <v>27</v>
      </c>
      <c r="B1210" s="1">
        <v>52</v>
      </c>
      <c r="C1210" s="1" t="s">
        <v>1237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27</v>
      </c>
      <c r="B1211" s="1">
        <v>68</v>
      </c>
      <c r="C1211" s="1" t="s">
        <v>1238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27</v>
      </c>
      <c r="B1212" s="1">
        <v>94</v>
      </c>
      <c r="C1212" s="1" t="s">
        <v>1239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27</v>
      </c>
      <c r="B1213" s="1">
        <v>99</v>
      </c>
      <c r="C1213" s="1" t="s">
        <v>1240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27</v>
      </c>
      <c r="B1214" s="1">
        <v>131</v>
      </c>
      <c r="C1214" s="1" t="s">
        <v>1241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27</v>
      </c>
      <c r="B1215" s="1">
        <v>133</v>
      </c>
      <c r="C1215" s="1" t="s">
        <v>1242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27</v>
      </c>
      <c r="B1216" s="1">
        <v>133</v>
      </c>
      <c r="C1216" s="1" t="s">
        <v>1242</v>
      </c>
      <c r="D1216">
        <f>IMAGE("https://raw.githubusercontent.com/stautonico/pokemon-home-pokedex/main/sprites/eevee-f.png", 2)</f>
        <v>0</v>
      </c>
      <c r="E1216" s="4" t="s">
        <v>13</v>
      </c>
      <c r="F1216" s="5"/>
    </row>
    <row r="1217" spans="1:6" ht="72" customHeight="1">
      <c r="A1217" s="1" t="s">
        <v>27</v>
      </c>
      <c r="B1217" s="1">
        <v>143</v>
      </c>
      <c r="C1217" s="1" t="s">
        <v>1243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27</v>
      </c>
      <c r="B1218" s="1">
        <v>569</v>
      </c>
      <c r="C1218" s="1" t="s">
        <v>1244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27</v>
      </c>
      <c r="B1219" s="1">
        <v>809</v>
      </c>
      <c r="C1219" s="1" t="s">
        <v>1245</v>
      </c>
      <c r="D1219">
        <f>IMAGE("https://raw.githubusercontent.com/stautonico/pokemon-home-pokedex/main/sprites/melmetal.png", 2)</f>
        <v>0</v>
      </c>
      <c r="E1219" s="37" t="s">
        <v>25</v>
      </c>
      <c r="F1219" s="5"/>
    </row>
    <row r="1220" spans="1:6" ht="72" customHeight="1">
      <c r="A1220" s="1" t="s">
        <v>27</v>
      </c>
      <c r="B1220" s="1">
        <v>812</v>
      </c>
      <c r="C1220" s="1" t="s">
        <v>1246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27</v>
      </c>
      <c r="B1221" s="1">
        <v>815</v>
      </c>
      <c r="C1221" s="1" t="s">
        <v>1247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27</v>
      </c>
      <c r="B1222" s="1">
        <v>818</v>
      </c>
      <c r="C1222" s="1" t="s">
        <v>1248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27</v>
      </c>
      <c r="B1223" s="1">
        <v>823</v>
      </c>
      <c r="C1223" s="1" t="s">
        <v>1249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27</v>
      </c>
      <c r="B1224" s="1">
        <v>826</v>
      </c>
      <c r="C1224" s="1" t="s">
        <v>1250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27</v>
      </c>
      <c r="B1225" s="1">
        <v>834</v>
      </c>
      <c r="C1225" s="1" t="s">
        <v>1251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27</v>
      </c>
      <c r="B1226" s="1">
        <v>839</v>
      </c>
      <c r="C1226" s="1" t="s">
        <v>1252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27</v>
      </c>
      <c r="B1227" s="1">
        <v>841</v>
      </c>
      <c r="C1227" s="1" t="s">
        <v>1253</v>
      </c>
      <c r="D1227">
        <f>IMAGE("https://raw.githubusercontent.com/stautonico/pokemon-home-pokedex/main/sprites/flapple.png", 2)</f>
        <v>0</v>
      </c>
      <c r="E1227" s="30" t="s">
        <v>14</v>
      </c>
      <c r="F1227" s="5"/>
    </row>
    <row r="1228" spans="1:6" ht="72" customHeight="1">
      <c r="A1228" s="1" t="s">
        <v>27</v>
      </c>
      <c r="B1228" s="1">
        <v>842</v>
      </c>
      <c r="C1228" s="1" t="s">
        <v>1254</v>
      </c>
      <c r="D1228">
        <f>IMAGE("https://raw.githubusercontent.com/stautonico/pokemon-home-pokedex/main/sprites/appletun.png", 2)</f>
        <v>0</v>
      </c>
      <c r="E1228" s="28" t="s">
        <v>15</v>
      </c>
      <c r="F1228" s="5"/>
    </row>
    <row r="1229" spans="1:6" ht="72" customHeight="1">
      <c r="A1229" s="1" t="s">
        <v>27</v>
      </c>
      <c r="B1229" s="1">
        <v>844</v>
      </c>
      <c r="C1229" s="1" t="s">
        <v>1255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27</v>
      </c>
      <c r="B1230" s="1">
        <v>849</v>
      </c>
      <c r="C1230" s="1" t="s">
        <v>1256</v>
      </c>
      <c r="D1230">
        <f>IMAGE("https://raw.githubusercontent.com/stautonico/pokemon-home-pokedex/main/sprites/toxtricity.png", 2)</f>
        <v>0</v>
      </c>
      <c r="E1230" s="4" t="s">
        <v>13</v>
      </c>
      <c r="F1230" s="5"/>
    </row>
    <row r="1231" spans="1:6" ht="72" customHeight="1">
      <c r="A1231" s="1" t="s">
        <v>27</v>
      </c>
      <c r="B1231" s="1">
        <v>10184</v>
      </c>
      <c r="C1231" s="1" t="s">
        <v>1257</v>
      </c>
      <c r="D1231">
        <f>IMAGE("https://raw.githubusercontent.com/stautonico/pokemon-home-pokedex/main/sprites/toxtricity-low-key.png", 2)</f>
        <v>0</v>
      </c>
      <c r="E1231" s="5" t="s">
        <v>806</v>
      </c>
      <c r="F1231" s="5" t="s">
        <v>806</v>
      </c>
    </row>
    <row r="1232" spans="1:6" ht="72" customHeight="1">
      <c r="A1232" s="1" t="s">
        <v>27</v>
      </c>
      <c r="B1232" s="1">
        <v>851</v>
      </c>
      <c r="C1232" s="1" t="s">
        <v>1258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27</v>
      </c>
      <c r="B1233" s="1">
        <v>858</v>
      </c>
      <c r="C1233" s="1" t="s">
        <v>1259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27</v>
      </c>
      <c r="B1234" s="1">
        <v>861</v>
      </c>
      <c r="C1234" s="1" t="s">
        <v>1260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27</v>
      </c>
      <c r="B1235" s="1">
        <v>869</v>
      </c>
      <c r="C1235" s="1" t="s">
        <v>1261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27</v>
      </c>
      <c r="B1236" s="1">
        <v>879</v>
      </c>
      <c r="C1236" s="1" t="s">
        <v>1262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27</v>
      </c>
      <c r="B1237" s="1">
        <v>884</v>
      </c>
      <c r="C1237" s="1" t="s">
        <v>1263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27</v>
      </c>
      <c r="B1238" s="1">
        <v>892</v>
      </c>
      <c r="C1238" s="1" t="s">
        <v>1264</v>
      </c>
      <c r="D1238">
        <f>IMAGE("https://raw.githubusercontent.com/stautonico/pokemon-home-pokedex/main/sprites/urshifu-single-strike.png", 2)</f>
        <v>0</v>
      </c>
      <c r="E1238" s="5" t="s">
        <v>806</v>
      </c>
      <c r="F1238" s="5" t="s">
        <v>806</v>
      </c>
    </row>
    <row r="1239" spans="1:6" ht="72" customHeight="1">
      <c r="A1239" s="1" t="s">
        <v>27</v>
      </c>
      <c r="B1239" s="1">
        <v>10191</v>
      </c>
      <c r="C1239" s="1" t="s">
        <v>1265</v>
      </c>
      <c r="D1239">
        <f>IMAGE("https://raw.githubusercontent.com/stautonico/pokemon-home-pokedex/main/sprites/urshifu-rapid-strike.png", 2)</f>
        <v>0</v>
      </c>
      <c r="E1239" s="5" t="s">
        <v>806</v>
      </c>
      <c r="F1239" s="5" t="s">
        <v>806</v>
      </c>
    </row>
    <row r="1240" spans="1:6" ht="72" customHeight="1">
      <c r="A1240" s="1" t="s">
        <v>27</v>
      </c>
      <c r="B1240" s="1">
        <v>19</v>
      </c>
      <c r="C1240" s="1" t="s">
        <v>1266</v>
      </c>
      <c r="D1240">
        <f>IMAGE("https://raw.githubusercontent.com/stautonico/pokemon-home-pokedex/main/sprites/rattata-alola.png", 2)</f>
        <v>0</v>
      </c>
      <c r="E1240" s="27" t="s">
        <v>17</v>
      </c>
      <c r="F1240" s="5"/>
    </row>
    <row r="1241" spans="1:6" ht="72" customHeight="1">
      <c r="A1241" s="1" t="s">
        <v>27</v>
      </c>
      <c r="B1241" s="1">
        <v>20</v>
      </c>
      <c r="C1241" s="1" t="s">
        <v>1267</v>
      </c>
      <c r="D1241">
        <f>IMAGE("https://raw.githubusercontent.com/stautonico/pokemon-home-pokedex/main/sprites/raticate-alola.png", 2)</f>
        <v>0</v>
      </c>
      <c r="E1241" s="27" t="s">
        <v>17</v>
      </c>
      <c r="F1241" s="5"/>
    </row>
    <row r="1242" spans="1:6" ht="72" customHeight="1">
      <c r="A1242" s="1" t="s">
        <v>27</v>
      </c>
      <c r="B1242" s="1">
        <v>26</v>
      </c>
      <c r="C1242" s="1" t="s">
        <v>1268</v>
      </c>
      <c r="D1242">
        <f>IMAGE("https://raw.githubusercontent.com/stautonico/pokemon-home-pokedex/main/sprites/raichu-alola.png", 2)</f>
        <v>0</v>
      </c>
      <c r="E1242" s="27" t="s">
        <v>17</v>
      </c>
      <c r="F1242" s="5"/>
    </row>
    <row r="1243" spans="1:6" ht="72" customHeight="1">
      <c r="A1243" s="1" t="s">
        <v>27</v>
      </c>
      <c r="B1243" s="1">
        <v>27</v>
      </c>
      <c r="C1243" s="1" t="s">
        <v>1269</v>
      </c>
      <c r="D1243">
        <f>IMAGE("https://raw.githubusercontent.com/stautonico/pokemon-home-pokedex/main/sprites/sandshrew-alola.png", 2)</f>
        <v>0</v>
      </c>
      <c r="E1243" s="35" t="s">
        <v>20</v>
      </c>
      <c r="F1243" s="5"/>
    </row>
    <row r="1244" spans="1:6" ht="72" customHeight="1">
      <c r="A1244" s="1" t="s">
        <v>27</v>
      </c>
      <c r="B1244" s="1">
        <v>28</v>
      </c>
      <c r="C1244" s="1" t="s">
        <v>1270</v>
      </c>
      <c r="D1244">
        <f>IMAGE("https://raw.githubusercontent.com/stautonico/pokemon-home-pokedex/main/sprites/sandslash-alola.png", 2)</f>
        <v>0</v>
      </c>
      <c r="E1244" s="35" t="s">
        <v>20</v>
      </c>
      <c r="F1244" s="5"/>
    </row>
    <row r="1245" spans="1:6" ht="72" customHeight="1">
      <c r="A1245" s="1" t="s">
        <v>27</v>
      </c>
      <c r="B1245" s="1">
        <v>37</v>
      </c>
      <c r="C1245" s="1" t="s">
        <v>1271</v>
      </c>
      <c r="D1245">
        <f>IMAGE("https://raw.githubusercontent.com/stautonico/pokemon-home-pokedex/main/sprites/vulpix-alola.png", 2)</f>
        <v>0</v>
      </c>
      <c r="E1245" s="34" t="s">
        <v>19</v>
      </c>
      <c r="F1245" s="5"/>
    </row>
    <row r="1246" spans="1:6" ht="72" customHeight="1">
      <c r="A1246" s="1" t="s">
        <v>27</v>
      </c>
      <c r="B1246" s="1">
        <v>38</v>
      </c>
      <c r="C1246" s="1" t="s">
        <v>1272</v>
      </c>
      <c r="D1246">
        <f>IMAGE("https://raw.githubusercontent.com/stautonico/pokemon-home-pokedex/main/sprites/ninetales-alola.png", 2)</f>
        <v>0</v>
      </c>
      <c r="E1246" s="34" t="s">
        <v>19</v>
      </c>
      <c r="F1246" s="5"/>
    </row>
    <row r="1247" spans="1:6" ht="72" customHeight="1">
      <c r="A1247" s="1" t="s">
        <v>27</v>
      </c>
      <c r="B1247" s="1">
        <v>50</v>
      </c>
      <c r="C1247" s="1" t="s">
        <v>1273</v>
      </c>
      <c r="D1247">
        <f>IMAGE("https://raw.githubusercontent.com/stautonico/pokemon-home-pokedex/main/sprites/diglett-alola.png", 2)</f>
        <v>0</v>
      </c>
      <c r="E1247" s="27" t="s">
        <v>17</v>
      </c>
      <c r="F1247" s="5"/>
    </row>
    <row r="1248" spans="1:6" ht="72" customHeight="1">
      <c r="A1248" s="1" t="s">
        <v>27</v>
      </c>
      <c r="B1248" s="1">
        <v>51</v>
      </c>
      <c r="C1248" s="1" t="s">
        <v>1274</v>
      </c>
      <c r="D1248">
        <f>IMAGE("https://raw.githubusercontent.com/stautonico/pokemon-home-pokedex/main/sprites/dugtrio-alola.png", 2)</f>
        <v>0</v>
      </c>
      <c r="E1248" s="27" t="s">
        <v>17</v>
      </c>
      <c r="F1248" s="5"/>
    </row>
    <row r="1249" spans="1:6" ht="72" customHeight="1">
      <c r="A1249" s="1" t="s">
        <v>27</v>
      </c>
      <c r="B1249" s="1">
        <v>52</v>
      </c>
      <c r="C1249" s="1" t="s">
        <v>1275</v>
      </c>
      <c r="D1249">
        <f>IMAGE("https://raw.githubusercontent.com/stautonico/pokemon-home-pokedex/main/sprites/meowth-alola.png", 2)</f>
        <v>0</v>
      </c>
      <c r="E1249" s="27" t="s">
        <v>17</v>
      </c>
      <c r="F1249" s="5"/>
    </row>
    <row r="1250" spans="1:6" ht="72" customHeight="1">
      <c r="A1250" s="1" t="s">
        <v>27</v>
      </c>
      <c r="B1250" s="1">
        <v>53</v>
      </c>
      <c r="C1250" s="1" t="s">
        <v>1276</v>
      </c>
      <c r="D1250">
        <f>IMAGE("https://raw.githubusercontent.com/stautonico/pokemon-home-pokedex/main/sprites/persian-alola.png", 2)</f>
        <v>0</v>
      </c>
      <c r="E1250" s="27" t="s">
        <v>17</v>
      </c>
      <c r="F1250" s="5"/>
    </row>
    <row r="1251" spans="1:6" ht="72" customHeight="1">
      <c r="A1251" s="1" t="s">
        <v>27</v>
      </c>
      <c r="B1251" s="1">
        <v>74</v>
      </c>
      <c r="C1251" s="1" t="s">
        <v>1277</v>
      </c>
      <c r="D1251">
        <f>IMAGE("https://raw.githubusercontent.com/stautonico/pokemon-home-pokedex/main/sprites/geodude-alola.png", 2)</f>
        <v>0</v>
      </c>
      <c r="E1251" s="27" t="s">
        <v>17</v>
      </c>
      <c r="F1251" s="5"/>
    </row>
    <row r="1252" spans="1:6" ht="72" customHeight="1">
      <c r="A1252" s="1" t="s">
        <v>27</v>
      </c>
      <c r="B1252" s="1">
        <v>75</v>
      </c>
      <c r="C1252" s="1" t="s">
        <v>1278</v>
      </c>
      <c r="D1252">
        <f>IMAGE("https://raw.githubusercontent.com/stautonico/pokemon-home-pokedex/main/sprites/graveler-alola.png", 2)</f>
        <v>0</v>
      </c>
      <c r="E1252" s="27" t="s">
        <v>17</v>
      </c>
      <c r="F1252" s="5"/>
    </row>
    <row r="1253" spans="1:6" ht="72" customHeight="1">
      <c r="A1253" s="1" t="s">
        <v>27</v>
      </c>
      <c r="B1253" s="1">
        <v>76</v>
      </c>
      <c r="C1253" s="1" t="s">
        <v>1279</v>
      </c>
      <c r="D1253">
        <f>IMAGE("https://raw.githubusercontent.com/stautonico/pokemon-home-pokedex/main/sprites/golem-alola.png", 2)</f>
        <v>0</v>
      </c>
      <c r="E1253" s="27" t="s">
        <v>17</v>
      </c>
      <c r="F1253" s="5"/>
    </row>
    <row r="1254" spans="1:6" ht="72" customHeight="1">
      <c r="A1254" s="1" t="s">
        <v>27</v>
      </c>
      <c r="B1254" s="1">
        <v>88</v>
      </c>
      <c r="C1254" s="1" t="s">
        <v>1280</v>
      </c>
      <c r="D1254">
        <f>IMAGE("https://raw.githubusercontent.com/stautonico/pokemon-home-pokedex/main/sprites/grimer-alola.png", 2)</f>
        <v>0</v>
      </c>
      <c r="E1254" s="27" t="s">
        <v>17</v>
      </c>
      <c r="F1254" s="5"/>
    </row>
    <row r="1255" spans="1:6" ht="72" customHeight="1">
      <c r="A1255" s="1" t="s">
        <v>27</v>
      </c>
      <c r="B1255" s="1">
        <v>89</v>
      </c>
      <c r="C1255" s="1" t="s">
        <v>1281</v>
      </c>
      <c r="D1255">
        <f>IMAGE("https://raw.githubusercontent.com/stautonico/pokemon-home-pokedex/main/sprites/muk-alola.png", 2)</f>
        <v>0</v>
      </c>
      <c r="E1255" s="27" t="s">
        <v>17</v>
      </c>
      <c r="F1255" s="5"/>
    </row>
    <row r="1256" spans="1:6" ht="72" customHeight="1">
      <c r="A1256" s="1" t="s">
        <v>27</v>
      </c>
      <c r="B1256" s="1">
        <v>103</v>
      </c>
      <c r="C1256" s="1" t="s">
        <v>1282</v>
      </c>
      <c r="D1256">
        <f>IMAGE("https://raw.githubusercontent.com/stautonico/pokemon-home-pokedex/main/sprites/exeggutor-alola.png", 2)</f>
        <v>0</v>
      </c>
      <c r="E1256" s="27" t="s">
        <v>17</v>
      </c>
      <c r="F1256" s="5"/>
    </row>
    <row r="1257" spans="1:6" ht="72" customHeight="1">
      <c r="A1257" s="1" t="s">
        <v>27</v>
      </c>
      <c r="B1257" s="1">
        <v>105</v>
      </c>
      <c r="C1257" s="1" t="s">
        <v>1283</v>
      </c>
      <c r="D1257">
        <f>IMAGE("https://raw.githubusercontent.com/stautonico/pokemon-home-pokedex/main/sprites/marowak-alola.png", 2)</f>
        <v>0</v>
      </c>
      <c r="E1257" s="34" t="s">
        <v>19</v>
      </c>
      <c r="F1257" s="5"/>
    </row>
    <row r="1258" spans="1:6" ht="72" customHeight="1">
      <c r="A1258" s="1" t="s">
        <v>27</v>
      </c>
      <c r="B1258" s="1">
        <v>52</v>
      </c>
      <c r="C1258" s="1" t="s">
        <v>1284</v>
      </c>
      <c r="D1258">
        <f>IMAGE("https://raw.githubusercontent.com/stautonico/pokemon-home-pokedex/main/sprites/meowth-galar.png", 2)</f>
        <v>0</v>
      </c>
      <c r="E1258" s="4" t="s">
        <v>13</v>
      </c>
      <c r="F1258" s="5"/>
    </row>
    <row r="1259" spans="1:6" ht="72" customHeight="1">
      <c r="A1259" s="1" t="s">
        <v>27</v>
      </c>
      <c r="B1259" s="1">
        <v>77</v>
      </c>
      <c r="C1259" s="1" t="s">
        <v>1285</v>
      </c>
      <c r="D1259">
        <f>IMAGE("https://raw.githubusercontent.com/stautonico/pokemon-home-pokedex/main/sprites/ponyta-galar.png", 2)</f>
        <v>0</v>
      </c>
      <c r="E1259" s="28" t="s">
        <v>15</v>
      </c>
      <c r="F1259" s="5"/>
    </row>
    <row r="1260" spans="1:6" ht="72" customHeight="1">
      <c r="A1260" s="1" t="s">
        <v>27</v>
      </c>
      <c r="B1260" s="1">
        <v>78</v>
      </c>
      <c r="C1260" s="1" t="s">
        <v>1286</v>
      </c>
      <c r="D1260">
        <f>IMAGE("https://raw.githubusercontent.com/stautonico/pokemon-home-pokedex/main/sprites/rapidash-galar.png", 2)</f>
        <v>0</v>
      </c>
      <c r="E1260" s="28" t="s">
        <v>15</v>
      </c>
      <c r="F1260" s="5"/>
    </row>
    <row r="1261" spans="1:6" ht="72" customHeight="1">
      <c r="A1261" s="1" t="s">
        <v>27</v>
      </c>
      <c r="B1261" s="1">
        <v>79</v>
      </c>
      <c r="C1261" s="1" t="s">
        <v>1287</v>
      </c>
      <c r="D1261">
        <f>IMAGE("https://raw.githubusercontent.com/stautonico/pokemon-home-pokedex/main/sprites/slowpoke-galar.png", 2)</f>
        <v>0</v>
      </c>
      <c r="E1261" s="4" t="s">
        <v>13</v>
      </c>
      <c r="F1261" s="5"/>
    </row>
    <row r="1262" spans="1:6" ht="72" customHeight="1">
      <c r="A1262" s="1" t="s">
        <v>27</v>
      </c>
      <c r="B1262" s="1">
        <v>80</v>
      </c>
      <c r="C1262" s="1" t="s">
        <v>1288</v>
      </c>
      <c r="D1262">
        <f>IMAGE("https://raw.githubusercontent.com/stautonico/pokemon-home-pokedex/main/sprites/slowbro-galar.png", 2)</f>
        <v>0</v>
      </c>
      <c r="E1262" s="4" t="s">
        <v>13</v>
      </c>
      <c r="F1262" s="5"/>
    </row>
    <row r="1263" spans="1:6" ht="72" customHeight="1">
      <c r="A1263" s="1" t="s">
        <v>27</v>
      </c>
      <c r="B1263" s="1">
        <v>83</v>
      </c>
      <c r="C1263" s="1" t="s">
        <v>1289</v>
      </c>
      <c r="D1263">
        <f>IMAGE("https://raw.githubusercontent.com/stautonico/pokemon-home-pokedex/main/sprites/farfetchd-galar.png", 2)</f>
        <v>0</v>
      </c>
      <c r="E1263" s="30" t="s">
        <v>14</v>
      </c>
      <c r="F1263" s="5"/>
    </row>
    <row r="1264" spans="1:6" ht="72" customHeight="1">
      <c r="A1264" s="1" t="s">
        <v>27</v>
      </c>
      <c r="B1264" s="1">
        <v>110</v>
      </c>
      <c r="C1264" s="1" t="s">
        <v>1290</v>
      </c>
      <c r="D1264">
        <f>IMAGE("https://raw.githubusercontent.com/stautonico/pokemon-home-pokedex/main/sprites/weezing-galar.png", 2)</f>
        <v>0</v>
      </c>
      <c r="E1264" s="4" t="s">
        <v>13</v>
      </c>
      <c r="F1264" s="5"/>
    </row>
    <row r="1265" spans="1:6" ht="72" customHeight="1">
      <c r="A1265" s="1" t="s">
        <v>27</v>
      </c>
      <c r="B1265" s="1">
        <v>122</v>
      </c>
      <c r="C1265" s="1" t="s">
        <v>1291</v>
      </c>
      <c r="D1265">
        <f>IMAGE("https://raw.githubusercontent.com/stautonico/pokemon-home-pokedex/main/sprites/mrmime-galar.png", 2)</f>
        <v>0</v>
      </c>
      <c r="E1265" s="4" t="s">
        <v>13</v>
      </c>
      <c r="F1265" s="5"/>
    </row>
    <row r="1266" spans="1:6" ht="72" customHeight="1">
      <c r="A1266" s="1" t="s">
        <v>27</v>
      </c>
      <c r="B1266" s="1">
        <v>144</v>
      </c>
      <c r="C1266" s="1" t="s">
        <v>1292</v>
      </c>
      <c r="D1266">
        <f>IMAGE("https://raw.githubusercontent.com/stautonico/pokemon-home-pokedex/main/sprites/articuno-galar.png", 2)</f>
        <v>0</v>
      </c>
      <c r="E1266" s="4" t="s">
        <v>13</v>
      </c>
      <c r="F1266" s="5"/>
    </row>
    <row r="1267" spans="1:6" ht="72" customHeight="1">
      <c r="A1267" s="1" t="s">
        <v>27</v>
      </c>
      <c r="B1267" s="1">
        <v>145</v>
      </c>
      <c r="C1267" s="1" t="s">
        <v>1293</v>
      </c>
      <c r="D1267">
        <f>IMAGE("https://raw.githubusercontent.com/stautonico/pokemon-home-pokedex/main/sprites/zapdos-galar.png", 2)</f>
        <v>0</v>
      </c>
      <c r="E1267" s="4" t="s">
        <v>13</v>
      </c>
      <c r="F1267" s="5"/>
    </row>
    <row r="1268" spans="1:6" ht="72" customHeight="1">
      <c r="A1268" s="1" t="s">
        <v>27</v>
      </c>
      <c r="B1268" s="1">
        <v>146</v>
      </c>
      <c r="C1268" s="1" t="s">
        <v>1294</v>
      </c>
      <c r="D1268">
        <f>IMAGE("https://raw.githubusercontent.com/stautonico/pokemon-home-pokedex/main/sprites/moltres-galar.png", 2)</f>
        <v>0</v>
      </c>
      <c r="E1268" s="4" t="s">
        <v>13</v>
      </c>
      <c r="F1268" s="5"/>
    </row>
    <row r="1269" spans="1:6" ht="72" customHeight="1">
      <c r="A1269" s="1" t="s">
        <v>27</v>
      </c>
      <c r="B1269" s="1">
        <v>199</v>
      </c>
      <c r="C1269" s="1" t="s">
        <v>1295</v>
      </c>
      <c r="D1269">
        <f>IMAGE("https://raw.githubusercontent.com/stautonico/pokemon-home-pokedex/main/sprites/slowking-galar.png", 2)</f>
        <v>0</v>
      </c>
      <c r="E1269" s="4" t="s">
        <v>13</v>
      </c>
      <c r="F1269" s="5"/>
    </row>
    <row r="1270" spans="1:6" ht="72" customHeight="1">
      <c r="A1270" s="1" t="s">
        <v>27</v>
      </c>
      <c r="B1270" s="1">
        <v>222</v>
      </c>
      <c r="C1270" s="1" t="s">
        <v>1296</v>
      </c>
      <c r="D1270">
        <f>IMAGE("https://raw.githubusercontent.com/stautonico/pokemon-home-pokedex/main/sprites/corsola-galar.png", 2)</f>
        <v>0</v>
      </c>
      <c r="E1270" s="28" t="s">
        <v>15</v>
      </c>
      <c r="F1270" s="5"/>
    </row>
    <row r="1271" spans="1:6" ht="72" customHeight="1">
      <c r="A1271" s="1" t="s">
        <v>27</v>
      </c>
      <c r="B1271" s="1">
        <v>263</v>
      </c>
      <c r="C1271" s="1" t="s">
        <v>1297</v>
      </c>
      <c r="D1271">
        <f>IMAGE("https://raw.githubusercontent.com/stautonico/pokemon-home-pokedex/main/sprites/zigzagoon-galar.png", 2)</f>
        <v>0</v>
      </c>
      <c r="E1271" s="4" t="s">
        <v>13</v>
      </c>
      <c r="F1271" s="5"/>
    </row>
    <row r="1272" spans="1:6" ht="72" customHeight="1">
      <c r="A1272" s="1" t="s">
        <v>27</v>
      </c>
      <c r="B1272" s="1">
        <v>264</v>
      </c>
      <c r="C1272" s="1" t="s">
        <v>1298</v>
      </c>
      <c r="D1272">
        <f>IMAGE("https://raw.githubusercontent.com/stautonico/pokemon-home-pokedex/main/sprites/linoone-galar.png", 2)</f>
        <v>0</v>
      </c>
      <c r="E1272" s="4" t="s">
        <v>13</v>
      </c>
      <c r="F1272" s="5"/>
    </row>
    <row r="1273" spans="1:6" ht="72" customHeight="1">
      <c r="A1273" s="1" t="s">
        <v>27</v>
      </c>
      <c r="B1273" s="1">
        <v>554</v>
      </c>
      <c r="C1273" s="1" t="s">
        <v>1299</v>
      </c>
      <c r="D1273">
        <f>IMAGE("https://raw.githubusercontent.com/stautonico/pokemon-home-pokedex/main/sprites/darumaka-galar.png", 2)</f>
        <v>0</v>
      </c>
      <c r="E1273" s="30" t="s">
        <v>14</v>
      </c>
      <c r="F1273" s="5"/>
    </row>
    <row r="1274" spans="1:6" ht="72" customHeight="1">
      <c r="A1274" s="1" t="s">
        <v>27</v>
      </c>
      <c r="B1274" s="1">
        <v>555</v>
      </c>
      <c r="C1274" s="1" t="s">
        <v>1300</v>
      </c>
      <c r="D1274">
        <f>IMAGE("https://raw.githubusercontent.com/stautonico/pokemon-home-pokedex/main/sprites/darmanitan-galar.png", 2)</f>
        <v>0</v>
      </c>
      <c r="E1274" s="30" t="s">
        <v>14</v>
      </c>
      <c r="F1274" s="5"/>
    </row>
    <row r="1275" spans="1:6" ht="72" customHeight="1">
      <c r="A1275" s="1" t="s">
        <v>27</v>
      </c>
      <c r="B1275" s="1">
        <v>562</v>
      </c>
      <c r="C1275" s="1" t="s">
        <v>1301</v>
      </c>
      <c r="D1275">
        <f>IMAGE("https://raw.githubusercontent.com/stautonico/pokemon-home-pokedex/main/sprites/yamask-galar.png", 2)</f>
        <v>0</v>
      </c>
      <c r="E1275" s="4" t="s">
        <v>13</v>
      </c>
      <c r="F1275" s="5"/>
    </row>
    <row r="1276" spans="1:6" ht="72" customHeight="1">
      <c r="A1276" s="1" t="s">
        <v>27</v>
      </c>
      <c r="B1276" s="1">
        <v>618</v>
      </c>
      <c r="C1276" s="1" t="s">
        <v>1302</v>
      </c>
      <c r="D1276">
        <f>IMAGE("https://raw.githubusercontent.com/stautonico/pokemon-home-pokedex/main/sprites/stunfisk-galar.png", 2)</f>
        <v>0</v>
      </c>
      <c r="E1276" s="4" t="s">
        <v>13</v>
      </c>
      <c r="F1276" s="5"/>
    </row>
    <row r="1277" spans="1:6" ht="72" customHeight="1">
      <c r="A1277" s="1" t="s">
        <v>27</v>
      </c>
      <c r="B1277" s="1">
        <v>58</v>
      </c>
      <c r="C1277" s="1" t="s">
        <v>1303</v>
      </c>
      <c r="D1277">
        <f>IMAGE("https://raw.githubusercontent.com/stautonico/pokemon-home-pokedex/main/sprites/growlithe-hisui.png", 2)</f>
        <v>0</v>
      </c>
      <c r="E1277" s="38" t="s">
        <v>26</v>
      </c>
      <c r="F1277" s="5"/>
    </row>
    <row r="1278" spans="1:6" ht="72" customHeight="1">
      <c r="A1278" s="1" t="s">
        <v>27</v>
      </c>
      <c r="B1278" s="1">
        <v>59</v>
      </c>
      <c r="C1278" s="1" t="s">
        <v>1304</v>
      </c>
      <c r="D1278">
        <f>IMAGE("https://raw.githubusercontent.com/stautonico/pokemon-home-pokedex/main/sprites/arcanine-hisui.png", 2)</f>
        <v>0</v>
      </c>
      <c r="E1278" s="38" t="s">
        <v>26</v>
      </c>
      <c r="F1278" s="5"/>
    </row>
    <row r="1279" spans="1:6" ht="72" customHeight="1">
      <c r="A1279" s="1" t="s">
        <v>27</v>
      </c>
      <c r="B1279" s="1">
        <v>100</v>
      </c>
      <c r="C1279" s="1" t="s">
        <v>1305</v>
      </c>
      <c r="D1279">
        <f>IMAGE("https://raw.githubusercontent.com/stautonico/pokemon-home-pokedex/main/sprites/voltorb-hisui.png", 2)</f>
        <v>0</v>
      </c>
      <c r="E1279" s="38" t="s">
        <v>26</v>
      </c>
      <c r="F1279" s="5"/>
    </row>
    <row r="1280" spans="1:6" ht="72" customHeight="1">
      <c r="A1280" s="1" t="s">
        <v>27</v>
      </c>
      <c r="B1280" s="1">
        <v>101</v>
      </c>
      <c r="C1280" s="1" t="s">
        <v>1306</v>
      </c>
      <c r="D1280">
        <f>IMAGE("https://raw.githubusercontent.com/stautonico/pokemon-home-pokedex/main/sprites/electrode-hisui.png", 2)</f>
        <v>0</v>
      </c>
      <c r="E1280" s="38" t="s">
        <v>26</v>
      </c>
      <c r="F1280" s="5"/>
    </row>
    <row r="1281" spans="1:6" ht="72" customHeight="1">
      <c r="A1281" s="1" t="s">
        <v>27</v>
      </c>
      <c r="B1281" s="1">
        <v>157</v>
      </c>
      <c r="C1281" s="1" t="s">
        <v>1307</v>
      </c>
      <c r="D1281">
        <f>IMAGE("https://raw.githubusercontent.com/stautonico/pokemon-home-pokedex/main/sprites/typhlosion-hisui.png", 2)</f>
        <v>0</v>
      </c>
      <c r="E1281" s="38" t="s">
        <v>26</v>
      </c>
      <c r="F1281" s="5"/>
    </row>
    <row r="1282" spans="1:6" ht="72" customHeight="1">
      <c r="A1282" s="1" t="s">
        <v>27</v>
      </c>
      <c r="B1282" s="1">
        <v>211</v>
      </c>
      <c r="C1282" s="1" t="s">
        <v>1308</v>
      </c>
      <c r="D1282">
        <f>IMAGE("https://raw.githubusercontent.com/stautonico/pokemon-home-pokedex/main/sprites/qwilfish-hisui.png", 2)</f>
        <v>0</v>
      </c>
      <c r="E1282" s="38" t="s">
        <v>26</v>
      </c>
      <c r="F1282" s="5"/>
    </row>
    <row r="1283" spans="1:6" ht="72" customHeight="1">
      <c r="A1283" s="1" t="s">
        <v>27</v>
      </c>
      <c r="B1283" s="1">
        <v>215</v>
      </c>
      <c r="C1283" s="1" t="s">
        <v>1309</v>
      </c>
      <c r="D1283">
        <f>IMAGE("https://raw.githubusercontent.com/stautonico/pokemon-home-pokedex/main/sprites/sneasel-hisui.png", 2)</f>
        <v>0</v>
      </c>
      <c r="E1283" s="38" t="s">
        <v>26</v>
      </c>
      <c r="F1283" s="5"/>
    </row>
    <row r="1284" spans="1:6" ht="72" customHeight="1">
      <c r="A1284" s="1" t="s">
        <v>27</v>
      </c>
      <c r="B1284" s="1">
        <v>503</v>
      </c>
      <c r="C1284" s="1" t="s">
        <v>1310</v>
      </c>
      <c r="D1284">
        <f>IMAGE("https://raw.githubusercontent.com/stautonico/pokemon-home-pokedex/main/sprites/samurott-hisui.png", 2)</f>
        <v>0</v>
      </c>
      <c r="E1284" s="38" t="s">
        <v>26</v>
      </c>
      <c r="F1284" s="5"/>
    </row>
    <row r="1285" spans="1:6" ht="72" customHeight="1">
      <c r="A1285" s="1" t="s">
        <v>27</v>
      </c>
      <c r="B1285" s="1">
        <v>549</v>
      </c>
      <c r="C1285" s="1" t="s">
        <v>1311</v>
      </c>
      <c r="D1285">
        <f>IMAGE("https://raw.githubusercontent.com/stautonico/pokemon-home-pokedex/main/sprites/lilligant-hisui.png", 2)</f>
        <v>0</v>
      </c>
      <c r="E1285" s="38" t="s">
        <v>26</v>
      </c>
      <c r="F1285" s="5"/>
    </row>
    <row r="1286" spans="1:6" ht="72" customHeight="1">
      <c r="A1286" s="1" t="s">
        <v>27</v>
      </c>
      <c r="B1286" s="1">
        <v>10247</v>
      </c>
      <c r="C1286" s="1" t="s">
        <v>1312</v>
      </c>
      <c r="D1286">
        <f>IMAGE("https://raw.githubusercontent.com/stautonico/pokemon-home-pokedex/main/sprites/basculin-white-striped.png", 2)</f>
        <v>0</v>
      </c>
      <c r="E1286" s="38" t="s">
        <v>26</v>
      </c>
      <c r="F1286" s="5"/>
    </row>
    <row r="1287" spans="1:6" ht="72" customHeight="1">
      <c r="A1287" s="1" t="s">
        <v>27</v>
      </c>
      <c r="B1287" s="1">
        <v>570</v>
      </c>
      <c r="C1287" s="1" t="s">
        <v>1313</v>
      </c>
      <c r="D1287">
        <f>IMAGE("https://raw.githubusercontent.com/stautonico/pokemon-home-pokedex/main/sprites/zorua-hisui.png", 2)</f>
        <v>0</v>
      </c>
      <c r="E1287" s="38" t="s">
        <v>26</v>
      </c>
      <c r="F1287" s="5"/>
    </row>
    <row r="1288" spans="1:6" ht="72" customHeight="1">
      <c r="A1288" s="1" t="s">
        <v>27</v>
      </c>
      <c r="B1288" s="1">
        <v>571</v>
      </c>
      <c r="C1288" s="1" t="s">
        <v>1314</v>
      </c>
      <c r="D1288">
        <f>IMAGE("https://raw.githubusercontent.com/stautonico/pokemon-home-pokedex/main/sprites/zoroark-hisui.png", 2)</f>
        <v>0</v>
      </c>
      <c r="E1288" s="38" t="s">
        <v>26</v>
      </c>
      <c r="F1288" s="5"/>
    </row>
    <row r="1289" spans="1:6" ht="72" customHeight="1">
      <c r="A1289" s="1" t="s">
        <v>27</v>
      </c>
      <c r="B1289" s="1">
        <v>628</v>
      </c>
      <c r="C1289" s="1" t="s">
        <v>1315</v>
      </c>
      <c r="D1289">
        <f>IMAGE("https://raw.githubusercontent.com/stautonico/pokemon-home-pokedex/main/sprites/braviary-hisui.png", 2)</f>
        <v>0</v>
      </c>
      <c r="E1289" s="38" t="s">
        <v>26</v>
      </c>
      <c r="F1289" s="5"/>
    </row>
    <row r="1290" spans="1:6" ht="72" customHeight="1">
      <c r="A1290" s="1" t="s">
        <v>27</v>
      </c>
      <c r="B1290" s="1">
        <v>705</v>
      </c>
      <c r="C1290" s="1" t="s">
        <v>1316</v>
      </c>
      <c r="D1290">
        <f>IMAGE("https://raw.githubusercontent.com/stautonico/pokemon-home-pokedex/main/sprites/sliggoo-hisui.png", 2)</f>
        <v>0</v>
      </c>
      <c r="E1290" s="38" t="s">
        <v>26</v>
      </c>
      <c r="F1290" s="5"/>
    </row>
    <row r="1291" spans="1:6" ht="72" customHeight="1">
      <c r="A1291" s="1" t="s">
        <v>27</v>
      </c>
      <c r="B1291" s="1">
        <v>706</v>
      </c>
      <c r="C1291" s="1" t="s">
        <v>1317</v>
      </c>
      <c r="D1291">
        <f>IMAGE("https://raw.githubusercontent.com/stautonico/pokemon-home-pokedex/main/sprites/goodra-hisui.png", 2)</f>
        <v>0</v>
      </c>
      <c r="E1291" s="38" t="s">
        <v>26</v>
      </c>
      <c r="F1291" s="5"/>
    </row>
    <row r="1292" spans="1:6" ht="72" customHeight="1">
      <c r="A1292" s="1" t="s">
        <v>27</v>
      </c>
      <c r="B1292" s="1">
        <v>713</v>
      </c>
      <c r="C1292" s="1" t="s">
        <v>1318</v>
      </c>
      <c r="D1292">
        <f>IMAGE("https://raw.githubusercontent.com/stautonico/pokemon-home-pokedex/main/sprites/avalugg-hisui.png", 2)</f>
        <v>0</v>
      </c>
      <c r="E1292" s="38" t="s">
        <v>26</v>
      </c>
      <c r="F1292" s="5"/>
    </row>
    <row r="1293" spans="1:6" ht="72" customHeight="1">
      <c r="A1293" s="1" t="s">
        <v>27</v>
      </c>
      <c r="B1293" s="1">
        <v>724</v>
      </c>
      <c r="C1293" s="1" t="s">
        <v>1319</v>
      </c>
      <c r="D1293">
        <f>IMAGE("https://raw.githubusercontent.com/stautonico/pokemon-home-pokedex/main/sprites/decidueye-hisui.png", 2)</f>
        <v>0</v>
      </c>
      <c r="E1293" s="38" t="s">
        <v>26</v>
      </c>
      <c r="F1293" s="5"/>
    </row>
  </sheetData>
  <mergeCells count="18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9" t="s">
        <v>1320</v>
      </c>
      <c r="I2" s="39" t="s">
        <v>1321</v>
      </c>
    </row>
    <row r="3" spans="2:14" ht="72" customHeight="1">
      <c r="B3" s="40">
        <f>IMAGE("https://raw.githubusercontent.com/stautonico/pokemon-home-pokedex/main/sprites/bulbasaur.png", 2)</f>
        <v>0</v>
      </c>
      <c r="C3" s="40">
        <f>IMAGE("https://raw.githubusercontent.com/stautonico/pokemon-home-pokedex/main/sprites/ivysaur.png", 2)</f>
        <v>0</v>
      </c>
      <c r="D3" s="40">
        <f>IMAGE("https://raw.githubusercontent.com/stautonico/pokemon-home-pokedex/main/sprites/venusaur.png", 2)</f>
        <v>0</v>
      </c>
      <c r="E3" s="40">
        <f>IMAGE("https://raw.githubusercontent.com/stautonico/pokemon-home-pokedex/main/sprites/charmander.png", 2)</f>
        <v>0</v>
      </c>
      <c r="F3" s="40">
        <f>IMAGE("https://raw.githubusercontent.com/stautonico/pokemon-home-pokedex/main/sprites/charmeleon.png", 2)</f>
        <v>0</v>
      </c>
      <c r="G3" s="40">
        <f>IMAGE("https://raw.githubusercontent.com/stautonico/pokemon-home-pokedex/main/sprites/charizard.png", 2)</f>
        <v>0</v>
      </c>
      <c r="I3" s="40">
        <f>IMAGE("https://raw.githubusercontent.com/stautonico/pokemon-home-pokedex/main/sprites/nidoqueen.png", 2)</f>
        <v>0</v>
      </c>
      <c r="J3" s="40">
        <f>IMAGE("https://raw.githubusercontent.com/stautonico/pokemon-home-pokedex/main/sprites/nidoran-f.png", 2)</f>
        <v>0</v>
      </c>
      <c r="K3" s="40">
        <f>IMAGE("https://raw.githubusercontent.com/stautonico/pokemon-home-pokedex/main/sprites/nidorino.png", 2)</f>
        <v>0</v>
      </c>
      <c r="L3" s="40">
        <f>IMAGE("https://raw.githubusercontent.com/stautonico/pokemon-home-pokedex/main/sprites/nidoking.png", 2)</f>
        <v>0</v>
      </c>
      <c r="M3" s="40">
        <f>IMAGE("https://raw.githubusercontent.com/stautonico/pokemon-home-pokedex/main/sprites/clefairy.png", 2)</f>
        <v>0</v>
      </c>
      <c r="N3" s="40">
        <f>IMAGE("https://raw.githubusercontent.com/stautonico/pokemon-home-pokedex/main/sprites/clefable.png", 2)</f>
        <v>0</v>
      </c>
    </row>
    <row r="4" spans="2:14" ht="72" customHeight="1">
      <c r="B4" s="40">
        <f>IMAGE("https://raw.githubusercontent.com/stautonico/pokemon-home-pokedex/main/sprites/squirtle.png", 2)</f>
        <v>0</v>
      </c>
      <c r="C4" s="40">
        <f>IMAGE("https://raw.githubusercontent.com/stautonico/pokemon-home-pokedex/main/sprites/wartortle.png", 2)</f>
        <v>0</v>
      </c>
      <c r="D4" s="40">
        <f>IMAGE("https://raw.githubusercontent.com/stautonico/pokemon-home-pokedex/main/sprites/blastoise.png", 2)</f>
        <v>0</v>
      </c>
      <c r="E4" s="40">
        <f>IMAGE("https://raw.githubusercontent.com/stautonico/pokemon-home-pokedex/main/sprites/caterpie.png", 2)</f>
        <v>0</v>
      </c>
      <c r="F4" s="40">
        <f>IMAGE("https://raw.githubusercontent.com/stautonico/pokemon-home-pokedex/main/sprites/metapod.png", 2)</f>
        <v>0</v>
      </c>
      <c r="G4" s="40">
        <f>IMAGE("https://raw.githubusercontent.com/stautonico/pokemon-home-pokedex/main/sprites/butterfree.png", 2)</f>
        <v>0</v>
      </c>
      <c r="I4" s="40">
        <f>IMAGE("https://raw.githubusercontent.com/stautonico/pokemon-home-pokedex/main/sprites/vulpix.png", 2)</f>
        <v>0</v>
      </c>
      <c r="J4" s="40">
        <f>IMAGE("https://raw.githubusercontent.com/stautonico/pokemon-home-pokedex/main/sprites/ninetales.png", 2)</f>
        <v>0</v>
      </c>
      <c r="K4" s="40">
        <f>IMAGE("https://raw.githubusercontent.com/stautonico/pokemon-home-pokedex/main/sprites/jigglypuff.png", 2)</f>
        <v>0</v>
      </c>
      <c r="L4" s="40">
        <f>IMAGE("https://raw.githubusercontent.com/stautonico/pokemon-home-pokedex/main/sprites/wigglytuff.png", 2)</f>
        <v>0</v>
      </c>
      <c r="M4" s="40">
        <f>IMAGE("https://raw.githubusercontent.com/stautonico/pokemon-home-pokedex/main/sprites/zubat.png", 2)</f>
        <v>0</v>
      </c>
      <c r="N4" s="40">
        <f>IMAGE("https://raw.githubusercontent.com/stautonico/pokemon-home-pokedex/main/sprites/golbat.png", 2)</f>
        <v>0</v>
      </c>
    </row>
    <row r="5" spans="2:14" ht="72" customHeight="1">
      <c r="B5" s="40">
        <f>IMAGE("https://raw.githubusercontent.com/stautonico/pokemon-home-pokedex/main/sprites/weedle.png", 2)</f>
        <v>0</v>
      </c>
      <c r="C5" s="40">
        <f>IMAGE("https://raw.githubusercontent.com/stautonico/pokemon-home-pokedex/main/sprites/kakuna.png", 2)</f>
        <v>0</v>
      </c>
      <c r="D5" s="40">
        <f>IMAGE("https://raw.githubusercontent.com/stautonico/pokemon-home-pokedex/main/sprites/beedrill.png", 2)</f>
        <v>0</v>
      </c>
      <c r="E5" s="40">
        <f>IMAGE("https://raw.githubusercontent.com/stautonico/pokemon-home-pokedex/main/sprites/pidgey.png", 2)</f>
        <v>0</v>
      </c>
      <c r="F5" s="40">
        <f>IMAGE("https://raw.githubusercontent.com/stautonico/pokemon-home-pokedex/main/sprites/pidgeotto.png", 2)</f>
        <v>0</v>
      </c>
      <c r="G5" s="40">
        <f>IMAGE("https://raw.githubusercontent.com/stautonico/pokemon-home-pokedex/main/sprites/pidgeot.png", 2)</f>
        <v>0</v>
      </c>
      <c r="I5" s="40">
        <f>IMAGE("https://raw.githubusercontent.com/stautonico/pokemon-home-pokedex/main/sprites/oddish.png", 2)</f>
        <v>0</v>
      </c>
      <c r="J5" s="40">
        <f>IMAGE("https://raw.githubusercontent.com/stautonico/pokemon-home-pokedex/main/sprites/gloom.png", 2)</f>
        <v>0</v>
      </c>
      <c r="K5" s="40">
        <f>IMAGE("https://raw.githubusercontent.com/stautonico/pokemon-home-pokedex/main/sprites/vileplume.png", 2)</f>
        <v>0</v>
      </c>
      <c r="L5" s="40">
        <f>IMAGE("https://raw.githubusercontent.com/stautonico/pokemon-home-pokedex/main/sprites/paras.png", 2)</f>
        <v>0</v>
      </c>
      <c r="M5" s="40">
        <f>IMAGE("https://raw.githubusercontent.com/stautonico/pokemon-home-pokedex/main/sprites/parasect.png", 2)</f>
        <v>0</v>
      </c>
      <c r="N5" s="40">
        <f>IMAGE("https://raw.githubusercontent.com/stautonico/pokemon-home-pokedex/main/sprites/venonat.png", 2)</f>
        <v>0</v>
      </c>
    </row>
    <row r="6" spans="2:14" ht="72" customHeight="1">
      <c r="B6" s="40">
        <f>IMAGE("https://raw.githubusercontent.com/stautonico/pokemon-home-pokedex/main/sprites/rattata.png", 2)</f>
        <v>0</v>
      </c>
      <c r="C6" s="40">
        <f>IMAGE("https://raw.githubusercontent.com/stautonico/pokemon-home-pokedex/main/sprites/raticate.png", 2)</f>
        <v>0</v>
      </c>
      <c r="D6" s="40">
        <f>IMAGE("https://raw.githubusercontent.com/stautonico/pokemon-home-pokedex/main/sprites/spearow.png", 2)</f>
        <v>0</v>
      </c>
      <c r="E6" s="40">
        <f>IMAGE("https://raw.githubusercontent.com/stautonico/pokemon-home-pokedex/main/sprites/fearow.png", 2)</f>
        <v>0</v>
      </c>
      <c r="F6" s="40">
        <f>IMAGE("https://raw.githubusercontent.com/stautonico/pokemon-home-pokedex/main/sprites/ekans.png", 2)</f>
        <v>0</v>
      </c>
      <c r="G6" s="40">
        <f>IMAGE("https://raw.githubusercontent.com/stautonico/pokemon-home-pokedex/main/sprites/arbok.png", 2)</f>
        <v>0</v>
      </c>
      <c r="I6" s="40">
        <f>IMAGE("https://raw.githubusercontent.com/stautonico/pokemon-home-pokedex/main/sprites/venomoth.png", 2)</f>
        <v>0</v>
      </c>
      <c r="J6" s="40">
        <f>IMAGE("https://raw.githubusercontent.com/stautonico/pokemon-home-pokedex/main/sprites/diglett.png", 2)</f>
        <v>0</v>
      </c>
      <c r="K6" s="40">
        <f>IMAGE("https://raw.githubusercontent.com/stautonico/pokemon-home-pokedex/main/sprites/dugtrio.png", 2)</f>
        <v>0</v>
      </c>
      <c r="L6" s="40">
        <f>IMAGE("https://raw.githubusercontent.com/stautonico/pokemon-home-pokedex/main/sprites/meowth.png", 2)</f>
        <v>0</v>
      </c>
      <c r="M6" s="40">
        <f>IMAGE("https://raw.githubusercontent.com/stautonico/pokemon-home-pokedex/main/sprites/persian.png", 2)</f>
        <v>0</v>
      </c>
      <c r="N6" s="40">
        <f>IMAGE("https://raw.githubusercontent.com/stautonico/pokemon-home-pokedex/main/sprites/psyduck.png", 2)</f>
        <v>0</v>
      </c>
    </row>
    <row r="7" spans="2:14" ht="72" customHeight="1">
      <c r="B7" s="40">
        <f>IMAGE("https://raw.githubusercontent.com/stautonico/pokemon-home-pokedex/main/sprites/pikachu.png", 2)</f>
        <v>0</v>
      </c>
      <c r="C7" s="40">
        <f>IMAGE("https://raw.githubusercontent.com/stautonico/pokemon-home-pokedex/main/sprites/raichu.png", 2)</f>
        <v>0</v>
      </c>
      <c r="D7" s="40">
        <f>IMAGE("https://raw.githubusercontent.com/stautonico/pokemon-home-pokedex/main/sprites/sandshrew.png", 2)</f>
        <v>0</v>
      </c>
      <c r="E7" s="40">
        <f>IMAGE("https://raw.githubusercontent.com/stautonico/pokemon-home-pokedex/main/sprites/sandslash.png", 2)</f>
        <v>0</v>
      </c>
      <c r="F7" s="40">
        <f>IMAGE("https://raw.githubusercontent.com/stautonico/pokemon-home-pokedex/main/sprites/nidoran-f.png", 2)</f>
        <v>0</v>
      </c>
      <c r="G7" s="40">
        <f>IMAGE("https://raw.githubusercontent.com/stautonico/pokemon-home-pokedex/main/sprites/nidorina.png", 2)</f>
        <v>0</v>
      </c>
      <c r="I7" s="40">
        <f>IMAGE("https://raw.githubusercontent.com/stautonico/pokemon-home-pokedex/main/sprites/golduck.png", 2)</f>
        <v>0</v>
      </c>
      <c r="J7" s="40">
        <f>IMAGE("https://raw.githubusercontent.com/stautonico/pokemon-home-pokedex/main/sprites/mankey.png", 2)</f>
        <v>0</v>
      </c>
      <c r="K7" s="40">
        <f>IMAGE("https://raw.githubusercontent.com/stautonico/pokemon-home-pokedex/main/sprites/primeape.png", 2)</f>
        <v>0</v>
      </c>
      <c r="L7" s="40">
        <f>IMAGE("https://raw.githubusercontent.com/stautonico/pokemon-home-pokedex/main/sprites/growlithe.png", 2)</f>
        <v>0</v>
      </c>
      <c r="M7" s="40">
        <f>IMAGE("https://raw.githubusercontent.com/stautonico/pokemon-home-pokedex/main/sprites/arcanine.png", 2)</f>
        <v>0</v>
      </c>
      <c r="N7" s="40">
        <f>IMAGE("https://raw.githubusercontent.com/stautonico/pokemon-home-pokedex/main/sprites/poliwag.png", 2)</f>
        <v>0</v>
      </c>
    </row>
    <row r="10" spans="2:14">
      <c r="B10" s="39" t="s">
        <v>1322</v>
      </c>
      <c r="I10" s="39" t="s">
        <v>1323</v>
      </c>
    </row>
    <row r="11" spans="2:14" ht="72" customHeight="1">
      <c r="B11" s="40">
        <f>IMAGE("https://raw.githubusercontent.com/stautonico/pokemon-home-pokedex/main/sprites/poliwhirl.png", 2)</f>
        <v>0</v>
      </c>
      <c r="C11" s="40">
        <f>IMAGE("https://raw.githubusercontent.com/stautonico/pokemon-home-pokedex/main/sprites/poliwrath.png", 2)</f>
        <v>0</v>
      </c>
      <c r="D11" s="40">
        <f>IMAGE("https://raw.githubusercontent.com/stautonico/pokemon-home-pokedex/main/sprites/abra.png", 2)</f>
        <v>0</v>
      </c>
      <c r="E11" s="40">
        <f>IMAGE("https://raw.githubusercontent.com/stautonico/pokemon-home-pokedex/main/sprites/kadabra.png", 2)</f>
        <v>0</v>
      </c>
      <c r="F11" s="40">
        <f>IMAGE("https://raw.githubusercontent.com/stautonico/pokemon-home-pokedex/main/sprites/alakazam.png", 2)</f>
        <v>0</v>
      </c>
      <c r="G11" s="40">
        <f>IMAGE("https://raw.githubusercontent.com/stautonico/pokemon-home-pokedex/main/sprites/machop.png", 2)</f>
        <v>0</v>
      </c>
      <c r="I11" s="40">
        <f>IMAGE("https://raw.githubusercontent.com/stautonico/pokemon-home-pokedex/main/sprites/cloyster.png", 2)</f>
        <v>0</v>
      </c>
      <c r="J11" s="40">
        <f>IMAGE("https://raw.githubusercontent.com/stautonico/pokemon-home-pokedex/main/sprites/gastly.png", 2)</f>
        <v>0</v>
      </c>
      <c r="K11" s="40">
        <f>IMAGE("https://raw.githubusercontent.com/stautonico/pokemon-home-pokedex/main/sprites/haunter.png", 2)</f>
        <v>0</v>
      </c>
      <c r="L11" s="40">
        <f>IMAGE("https://raw.githubusercontent.com/stautonico/pokemon-home-pokedex/main/sprites/gengar.png", 2)</f>
        <v>0</v>
      </c>
      <c r="M11" s="40">
        <f>IMAGE("https://raw.githubusercontent.com/stautonico/pokemon-home-pokedex/main/sprites/onix.png", 2)</f>
        <v>0</v>
      </c>
      <c r="N11" s="40">
        <f>IMAGE("https://raw.githubusercontent.com/stautonico/pokemon-home-pokedex/main/sprites/drowzee.png", 2)</f>
        <v>0</v>
      </c>
    </row>
    <row r="12" spans="2:14" ht="72" customHeight="1">
      <c r="B12" s="40">
        <f>IMAGE("https://raw.githubusercontent.com/stautonico/pokemon-home-pokedex/main/sprites/machoke.png", 2)</f>
        <v>0</v>
      </c>
      <c r="C12" s="40">
        <f>IMAGE("https://raw.githubusercontent.com/stautonico/pokemon-home-pokedex/main/sprites/machamp.png", 2)</f>
        <v>0</v>
      </c>
      <c r="D12" s="40">
        <f>IMAGE("https://raw.githubusercontent.com/stautonico/pokemon-home-pokedex/main/sprites/bellsprout.png", 2)</f>
        <v>0</v>
      </c>
      <c r="E12" s="40">
        <f>IMAGE("https://raw.githubusercontent.com/stautonico/pokemon-home-pokedex/main/sprites/weepinbell.png", 2)</f>
        <v>0</v>
      </c>
      <c r="F12" s="40">
        <f>IMAGE("https://raw.githubusercontent.com/stautonico/pokemon-home-pokedex/main/sprites/victreebel.png", 2)</f>
        <v>0</v>
      </c>
      <c r="G12" s="40">
        <f>IMAGE("https://raw.githubusercontent.com/stautonico/pokemon-home-pokedex/main/sprites/tentacool.png", 2)</f>
        <v>0</v>
      </c>
      <c r="I12" s="40">
        <f>IMAGE("https://raw.githubusercontent.com/stautonico/pokemon-home-pokedex/main/sprites/hypno.png", 2)</f>
        <v>0</v>
      </c>
      <c r="J12" s="40">
        <f>IMAGE("https://raw.githubusercontent.com/stautonico/pokemon-home-pokedex/main/sprites/krabby.png", 2)</f>
        <v>0</v>
      </c>
      <c r="K12" s="40">
        <f>IMAGE("https://raw.githubusercontent.com/stautonico/pokemon-home-pokedex/main/sprites/kingler.png", 2)</f>
        <v>0</v>
      </c>
      <c r="L12" s="40">
        <f>IMAGE("https://raw.githubusercontent.com/stautonico/pokemon-home-pokedex/main/sprites/voltorb.png", 2)</f>
        <v>0</v>
      </c>
      <c r="M12" s="40">
        <f>IMAGE("https://raw.githubusercontent.com/stautonico/pokemon-home-pokedex/main/sprites/electrode.png", 2)</f>
        <v>0</v>
      </c>
      <c r="N12" s="40">
        <f>IMAGE("https://raw.githubusercontent.com/stautonico/pokemon-home-pokedex/main/sprites/exeggcute.png", 2)</f>
        <v>0</v>
      </c>
    </row>
    <row r="13" spans="2:14" ht="72" customHeight="1">
      <c r="B13" s="40">
        <f>IMAGE("https://raw.githubusercontent.com/stautonico/pokemon-home-pokedex/main/sprites/tentacruel.png", 2)</f>
        <v>0</v>
      </c>
      <c r="C13" s="40">
        <f>IMAGE("https://raw.githubusercontent.com/stautonico/pokemon-home-pokedex/main/sprites/geodude.png", 2)</f>
        <v>0</v>
      </c>
      <c r="D13" s="40">
        <f>IMAGE("https://raw.githubusercontent.com/stautonico/pokemon-home-pokedex/main/sprites/graveler.png", 2)</f>
        <v>0</v>
      </c>
      <c r="E13" s="40">
        <f>IMAGE("https://raw.githubusercontent.com/stautonico/pokemon-home-pokedex/main/sprites/golem.png", 2)</f>
        <v>0</v>
      </c>
      <c r="F13" s="40">
        <f>IMAGE("https://raw.githubusercontent.com/stautonico/pokemon-home-pokedex/main/sprites/ponyta.png", 2)</f>
        <v>0</v>
      </c>
      <c r="G13" s="40">
        <f>IMAGE("https://raw.githubusercontent.com/stautonico/pokemon-home-pokedex/main/sprites/rapidash.png", 2)</f>
        <v>0</v>
      </c>
      <c r="I13" s="40">
        <f>IMAGE("https://raw.githubusercontent.com/stautonico/pokemon-home-pokedex/main/sprites/exeggutor.png", 2)</f>
        <v>0</v>
      </c>
      <c r="J13" s="40">
        <f>IMAGE("https://raw.githubusercontent.com/stautonico/pokemon-home-pokedex/main/sprites/cubone.png", 2)</f>
        <v>0</v>
      </c>
      <c r="K13" s="40">
        <f>IMAGE("https://raw.githubusercontent.com/stautonico/pokemon-home-pokedex/main/sprites/marowak.png", 2)</f>
        <v>0</v>
      </c>
      <c r="L13" s="40">
        <f>IMAGE("https://raw.githubusercontent.com/stautonico/pokemon-home-pokedex/main/sprites/hitmonlee.png", 2)</f>
        <v>0</v>
      </c>
      <c r="M13" s="40">
        <f>IMAGE("https://raw.githubusercontent.com/stautonico/pokemon-home-pokedex/main/sprites/hitmonchan.png", 2)</f>
        <v>0</v>
      </c>
      <c r="N13" s="40">
        <f>IMAGE("https://raw.githubusercontent.com/stautonico/pokemon-home-pokedex/main/sprites/lickitung.png", 2)</f>
        <v>0</v>
      </c>
    </row>
    <row r="14" spans="2:14" ht="72" customHeight="1">
      <c r="B14" s="40">
        <f>IMAGE("https://raw.githubusercontent.com/stautonico/pokemon-home-pokedex/main/sprites/slowpoke.png", 2)</f>
        <v>0</v>
      </c>
      <c r="C14" s="40">
        <f>IMAGE("https://raw.githubusercontent.com/stautonico/pokemon-home-pokedex/main/sprites/slowbro.png", 2)</f>
        <v>0</v>
      </c>
      <c r="D14" s="40">
        <f>IMAGE("https://raw.githubusercontent.com/stautonico/pokemon-home-pokedex/main/sprites/magnemite.png", 2)</f>
        <v>0</v>
      </c>
      <c r="E14" s="40">
        <f>IMAGE("https://raw.githubusercontent.com/stautonico/pokemon-home-pokedex/main/sprites/magneton.png", 2)</f>
        <v>0</v>
      </c>
      <c r="F14" s="40">
        <f>IMAGE("https://raw.githubusercontent.com/stautonico/pokemon-home-pokedex/main/sprites/farfetchd.png", 2)</f>
        <v>0</v>
      </c>
      <c r="G14" s="40">
        <f>IMAGE("https://raw.githubusercontent.com/stautonico/pokemon-home-pokedex/main/sprites/doduo.png", 2)</f>
        <v>0</v>
      </c>
      <c r="I14" s="40">
        <f>IMAGE("https://raw.githubusercontent.com/stautonico/pokemon-home-pokedex/main/sprites/koffing.png", 2)</f>
        <v>0</v>
      </c>
      <c r="J14" s="40">
        <f>IMAGE("https://raw.githubusercontent.com/stautonico/pokemon-home-pokedex/main/sprites/weezing.png", 2)</f>
        <v>0</v>
      </c>
      <c r="K14" s="40">
        <f>IMAGE("https://raw.githubusercontent.com/stautonico/pokemon-home-pokedex/main/sprites/rhyhorn.png", 2)</f>
        <v>0</v>
      </c>
      <c r="L14" s="40">
        <f>IMAGE("https://raw.githubusercontent.com/stautonico/pokemon-home-pokedex/main/sprites/rhydon.png", 2)</f>
        <v>0</v>
      </c>
      <c r="M14" s="40">
        <f>IMAGE("https://raw.githubusercontent.com/stautonico/pokemon-home-pokedex/main/sprites/chansey.png", 2)</f>
        <v>0</v>
      </c>
      <c r="N14" s="40">
        <f>IMAGE("https://raw.githubusercontent.com/stautonico/pokemon-home-pokedex/main/sprites/tangela.png", 2)</f>
        <v>0</v>
      </c>
    </row>
    <row r="15" spans="2:14" ht="72" customHeight="1">
      <c r="B15" s="40">
        <f>IMAGE("https://raw.githubusercontent.com/stautonico/pokemon-home-pokedex/main/sprites/dodrio.png", 2)</f>
        <v>0</v>
      </c>
      <c r="C15" s="40">
        <f>IMAGE("https://raw.githubusercontent.com/stautonico/pokemon-home-pokedex/main/sprites/seel.png", 2)</f>
        <v>0</v>
      </c>
      <c r="D15" s="40">
        <f>IMAGE("https://raw.githubusercontent.com/stautonico/pokemon-home-pokedex/main/sprites/dewgong.png", 2)</f>
        <v>0</v>
      </c>
      <c r="E15" s="40">
        <f>IMAGE("https://raw.githubusercontent.com/stautonico/pokemon-home-pokedex/main/sprites/grimer.png", 2)</f>
        <v>0</v>
      </c>
      <c r="F15" s="40">
        <f>IMAGE("https://raw.githubusercontent.com/stautonico/pokemon-home-pokedex/main/sprites/muk.png", 2)</f>
        <v>0</v>
      </c>
      <c r="G15" s="40">
        <f>IMAGE("https://raw.githubusercontent.com/stautonico/pokemon-home-pokedex/main/sprites/shellder.png", 2)</f>
        <v>0</v>
      </c>
      <c r="I15" s="40">
        <f>IMAGE("https://raw.githubusercontent.com/stautonico/pokemon-home-pokedex/main/sprites/kangaskhan.png", 2)</f>
        <v>0</v>
      </c>
      <c r="J15" s="40">
        <f>IMAGE("https://raw.githubusercontent.com/stautonico/pokemon-home-pokedex/main/sprites/horsea.png", 2)</f>
        <v>0</v>
      </c>
      <c r="K15" s="40">
        <f>IMAGE("https://raw.githubusercontent.com/stautonico/pokemon-home-pokedex/main/sprites/seadra.png", 2)</f>
        <v>0</v>
      </c>
      <c r="L15" s="40">
        <f>IMAGE("https://raw.githubusercontent.com/stautonico/pokemon-home-pokedex/main/sprites/goldeen.png", 2)</f>
        <v>0</v>
      </c>
      <c r="M15" s="40">
        <f>IMAGE("https://raw.githubusercontent.com/stautonico/pokemon-home-pokedex/main/sprites/seaking.png", 2)</f>
        <v>0</v>
      </c>
      <c r="N15" s="40">
        <f>IMAGE("https://raw.githubusercontent.com/stautonico/pokemon-home-pokedex/main/sprites/staryu.png", 2)</f>
        <v>0</v>
      </c>
    </row>
    <row r="18" spans="2:14">
      <c r="B18" s="39" t="s">
        <v>1324</v>
      </c>
      <c r="I18" s="39" t="s">
        <v>1325</v>
      </c>
    </row>
    <row r="19" spans="2:14" ht="72" customHeight="1">
      <c r="B19" s="40">
        <f>IMAGE("https://raw.githubusercontent.com/stautonico/pokemon-home-pokedex/main/sprites/starmie.png", 2)</f>
        <v>0</v>
      </c>
      <c r="C19" s="40">
        <f>IMAGE("https://raw.githubusercontent.com/stautonico/pokemon-home-pokedex/main/sprites/mrmime.png", 2)</f>
        <v>0</v>
      </c>
      <c r="D19" s="40">
        <f>IMAGE("https://raw.githubusercontent.com/stautonico/pokemon-home-pokedex/main/sprites/scyther.png", 2)</f>
        <v>0</v>
      </c>
      <c r="E19" s="40">
        <f>IMAGE("https://raw.githubusercontent.com/stautonico/pokemon-home-pokedex/main/sprites/jynx.png", 2)</f>
        <v>0</v>
      </c>
      <c r="F19" s="40">
        <f>IMAGE("https://raw.githubusercontent.com/stautonico/pokemon-home-pokedex/main/sprites/electabuzz.png", 2)</f>
        <v>0</v>
      </c>
      <c r="G19" s="40">
        <f>IMAGE("https://raw.githubusercontent.com/stautonico/pokemon-home-pokedex/main/sprites/magmar.png", 2)</f>
        <v>0</v>
      </c>
      <c r="I19" s="40">
        <f>IMAGE("https://raw.githubusercontent.com/stautonico/pokemon-home-pokedex/main/sprites/mew.png", 2)</f>
        <v>0</v>
      </c>
      <c r="J19" s="40">
        <f>IMAGE("https://raw.githubusercontent.com/stautonico/pokemon-home-pokedex/main/sprites/chikorita.png", 2)</f>
        <v>0</v>
      </c>
      <c r="K19" s="40">
        <f>IMAGE("https://raw.githubusercontent.com/stautonico/pokemon-home-pokedex/main/sprites/bayleef.png", 2)</f>
        <v>0</v>
      </c>
      <c r="L19" s="40">
        <f>IMAGE("https://raw.githubusercontent.com/stautonico/pokemon-home-pokedex/main/sprites/meganium.png", 2)</f>
        <v>0</v>
      </c>
      <c r="M19" s="40">
        <f>IMAGE("https://raw.githubusercontent.com/stautonico/pokemon-home-pokedex/main/sprites/cyndaquil.png", 2)</f>
        <v>0</v>
      </c>
      <c r="N19" s="40">
        <f>IMAGE("https://raw.githubusercontent.com/stautonico/pokemon-home-pokedex/main/sprites/quilava.png", 2)</f>
        <v>0</v>
      </c>
    </row>
    <row r="20" spans="2:14" ht="72" customHeight="1">
      <c r="B20" s="40">
        <f>IMAGE("https://raw.githubusercontent.com/stautonico/pokemon-home-pokedex/main/sprites/pinsir.png", 2)</f>
        <v>0</v>
      </c>
      <c r="C20" s="40">
        <f>IMAGE("https://raw.githubusercontent.com/stautonico/pokemon-home-pokedex/main/sprites/tauros.png", 2)</f>
        <v>0</v>
      </c>
      <c r="D20" s="40">
        <f>IMAGE("https://raw.githubusercontent.com/stautonico/pokemon-home-pokedex/main/sprites/magikarp.png", 2)</f>
        <v>0</v>
      </c>
      <c r="E20" s="40">
        <f>IMAGE("https://raw.githubusercontent.com/stautonico/pokemon-home-pokedex/main/sprites/gyarados.png", 2)</f>
        <v>0</v>
      </c>
      <c r="F20" s="40">
        <f>IMAGE("https://raw.githubusercontent.com/stautonico/pokemon-home-pokedex/main/sprites/lapras.png", 2)</f>
        <v>0</v>
      </c>
      <c r="G20" s="40">
        <f>IMAGE("https://raw.githubusercontent.com/stautonico/pokemon-home-pokedex/main/sprites/ditto.png", 2)</f>
        <v>0</v>
      </c>
      <c r="I20" s="40">
        <f>IMAGE("https://raw.githubusercontent.com/stautonico/pokemon-home-pokedex/main/sprites/typhlosion.png", 2)</f>
        <v>0</v>
      </c>
      <c r="J20" s="40">
        <f>IMAGE("https://raw.githubusercontent.com/stautonico/pokemon-home-pokedex/main/sprites/totodile.png", 2)</f>
        <v>0</v>
      </c>
      <c r="K20" s="40">
        <f>IMAGE("https://raw.githubusercontent.com/stautonico/pokemon-home-pokedex/main/sprites/croconaw.png", 2)</f>
        <v>0</v>
      </c>
      <c r="L20" s="40">
        <f>IMAGE("https://raw.githubusercontent.com/stautonico/pokemon-home-pokedex/main/sprites/feraligatr.png", 2)</f>
        <v>0</v>
      </c>
      <c r="M20" s="40">
        <f>IMAGE("https://raw.githubusercontent.com/stautonico/pokemon-home-pokedex/main/sprites/sentret.png", 2)</f>
        <v>0</v>
      </c>
      <c r="N20" s="40">
        <f>IMAGE("https://raw.githubusercontent.com/stautonico/pokemon-home-pokedex/main/sprites/furret.png", 2)</f>
        <v>0</v>
      </c>
    </row>
    <row r="21" spans="2:14" ht="72" customHeight="1">
      <c r="B21" s="40">
        <f>IMAGE("https://raw.githubusercontent.com/stautonico/pokemon-home-pokedex/main/sprites/eevee.png", 2)</f>
        <v>0</v>
      </c>
      <c r="C21" s="40">
        <f>IMAGE("https://raw.githubusercontent.com/stautonico/pokemon-home-pokedex/main/sprites/vaporeon.png", 2)</f>
        <v>0</v>
      </c>
      <c r="D21" s="40">
        <f>IMAGE("https://raw.githubusercontent.com/stautonico/pokemon-home-pokedex/main/sprites/jolteon.png", 2)</f>
        <v>0</v>
      </c>
      <c r="E21" s="40">
        <f>IMAGE("https://raw.githubusercontent.com/stautonico/pokemon-home-pokedex/main/sprites/flareon.png", 2)</f>
        <v>0</v>
      </c>
      <c r="F21" s="40">
        <f>IMAGE("https://raw.githubusercontent.com/stautonico/pokemon-home-pokedex/main/sprites/porygon.png", 2)</f>
        <v>0</v>
      </c>
      <c r="G21" s="40">
        <f>IMAGE("https://raw.githubusercontent.com/stautonico/pokemon-home-pokedex/main/sprites/omanyte.png", 2)</f>
        <v>0</v>
      </c>
      <c r="I21" s="40">
        <f>IMAGE("https://raw.githubusercontent.com/stautonico/pokemon-home-pokedex/main/sprites/hoothoot.png", 2)</f>
        <v>0</v>
      </c>
      <c r="J21" s="40">
        <f>IMAGE("https://raw.githubusercontent.com/stautonico/pokemon-home-pokedex/main/sprites/noctowl.png", 2)</f>
        <v>0</v>
      </c>
      <c r="K21" s="40">
        <f>IMAGE("https://raw.githubusercontent.com/stautonico/pokemon-home-pokedex/main/sprites/ledyba.png", 2)</f>
        <v>0</v>
      </c>
      <c r="L21" s="40">
        <f>IMAGE("https://raw.githubusercontent.com/stautonico/pokemon-home-pokedex/main/sprites/ledian.png", 2)</f>
        <v>0</v>
      </c>
      <c r="M21" s="40">
        <f>IMAGE("https://raw.githubusercontent.com/stautonico/pokemon-home-pokedex/main/sprites/spinarak.png", 2)</f>
        <v>0</v>
      </c>
      <c r="N21" s="40">
        <f>IMAGE("https://raw.githubusercontent.com/stautonico/pokemon-home-pokedex/main/sprites/ariados.png", 2)</f>
        <v>0</v>
      </c>
    </row>
    <row r="22" spans="2:14" ht="72" customHeight="1">
      <c r="B22" s="40">
        <f>IMAGE("https://raw.githubusercontent.com/stautonico/pokemon-home-pokedex/main/sprites/omastar.png", 2)</f>
        <v>0</v>
      </c>
      <c r="C22" s="40">
        <f>IMAGE("https://raw.githubusercontent.com/stautonico/pokemon-home-pokedex/main/sprites/kabuto.png", 2)</f>
        <v>0</v>
      </c>
      <c r="D22" s="40">
        <f>IMAGE("https://raw.githubusercontent.com/stautonico/pokemon-home-pokedex/main/sprites/kabutops.png", 2)</f>
        <v>0</v>
      </c>
      <c r="E22" s="40">
        <f>IMAGE("https://raw.githubusercontent.com/stautonico/pokemon-home-pokedex/main/sprites/aerodactyl.png", 2)</f>
        <v>0</v>
      </c>
      <c r="F22" s="40">
        <f>IMAGE("https://raw.githubusercontent.com/stautonico/pokemon-home-pokedex/main/sprites/snorlax.png", 2)</f>
        <v>0</v>
      </c>
      <c r="G22" s="40">
        <f>IMAGE("https://raw.githubusercontent.com/stautonico/pokemon-home-pokedex/main/sprites/articuno.png", 2)</f>
        <v>0</v>
      </c>
      <c r="I22" s="40">
        <f>IMAGE("https://raw.githubusercontent.com/stautonico/pokemon-home-pokedex/main/sprites/crobat.png", 2)</f>
        <v>0</v>
      </c>
      <c r="J22" s="40">
        <f>IMAGE("https://raw.githubusercontent.com/stautonico/pokemon-home-pokedex/main/sprites/chinchou.png", 2)</f>
        <v>0</v>
      </c>
      <c r="K22" s="40">
        <f>IMAGE("https://raw.githubusercontent.com/stautonico/pokemon-home-pokedex/main/sprites/lanturn.png", 2)</f>
        <v>0</v>
      </c>
      <c r="L22" s="40">
        <f>IMAGE("https://raw.githubusercontent.com/stautonico/pokemon-home-pokedex/main/sprites/pichu.png", 2)</f>
        <v>0</v>
      </c>
      <c r="M22" s="40">
        <f>IMAGE("https://raw.githubusercontent.com/stautonico/pokemon-home-pokedex/main/sprites/cleffa.png", 2)</f>
        <v>0</v>
      </c>
      <c r="N22" s="40">
        <f>IMAGE("https://raw.githubusercontent.com/stautonico/pokemon-home-pokedex/main/sprites/igglybuff.png", 2)</f>
        <v>0</v>
      </c>
    </row>
    <row r="23" spans="2:14" ht="72" customHeight="1">
      <c r="B23" s="40">
        <f>IMAGE("https://raw.githubusercontent.com/stautonico/pokemon-home-pokedex/main/sprites/zapdos.png", 2)</f>
        <v>0</v>
      </c>
      <c r="C23" s="40">
        <f>IMAGE("https://raw.githubusercontent.com/stautonico/pokemon-home-pokedex/main/sprites/moltres.png", 2)</f>
        <v>0</v>
      </c>
      <c r="D23" s="40">
        <f>IMAGE("https://raw.githubusercontent.com/stautonico/pokemon-home-pokedex/main/sprites/dratini.png", 2)</f>
        <v>0</v>
      </c>
      <c r="E23" s="40">
        <f>IMAGE("https://raw.githubusercontent.com/stautonico/pokemon-home-pokedex/main/sprites/dragonair.png", 2)</f>
        <v>0</v>
      </c>
      <c r="F23" s="40">
        <f>IMAGE("https://raw.githubusercontent.com/stautonico/pokemon-home-pokedex/main/sprites/dragonite.png", 2)</f>
        <v>0</v>
      </c>
      <c r="G23" s="40">
        <f>IMAGE("https://raw.githubusercontent.com/stautonico/pokemon-home-pokedex/main/sprites/mewtwo.png", 2)</f>
        <v>0</v>
      </c>
      <c r="I23" s="40">
        <f>IMAGE("https://raw.githubusercontent.com/stautonico/pokemon-home-pokedex/main/sprites/togepi.png", 2)</f>
        <v>0</v>
      </c>
      <c r="J23" s="40">
        <f>IMAGE("https://raw.githubusercontent.com/stautonico/pokemon-home-pokedex/main/sprites/togetic.png", 2)</f>
        <v>0</v>
      </c>
      <c r="K23" s="40">
        <f>IMAGE("https://raw.githubusercontent.com/stautonico/pokemon-home-pokedex/main/sprites/natu.png", 2)</f>
        <v>0</v>
      </c>
      <c r="L23" s="40">
        <f>IMAGE("https://raw.githubusercontent.com/stautonico/pokemon-home-pokedex/main/sprites/xatu.png", 2)</f>
        <v>0</v>
      </c>
      <c r="M23" s="40">
        <f>IMAGE("https://raw.githubusercontent.com/stautonico/pokemon-home-pokedex/main/sprites/mareep.png", 2)</f>
        <v>0</v>
      </c>
      <c r="N23" s="40">
        <f>IMAGE("https://raw.githubusercontent.com/stautonico/pokemon-home-pokedex/main/sprites/flaaffy.png", 2)</f>
        <v>0</v>
      </c>
    </row>
    <row r="26" spans="2:14">
      <c r="B26" s="39" t="s">
        <v>1326</v>
      </c>
      <c r="I26" s="39" t="s">
        <v>1327</v>
      </c>
    </row>
    <row r="27" spans="2:14" ht="72" customHeight="1">
      <c r="B27" s="40">
        <f>IMAGE("https://raw.githubusercontent.com/stautonico/pokemon-home-pokedex/main/sprites/ampharos.png", 2)</f>
        <v>0</v>
      </c>
      <c r="C27" s="40">
        <f>IMAGE("https://raw.githubusercontent.com/stautonico/pokemon-home-pokedex/main/sprites/bellossom.png", 2)</f>
        <v>0</v>
      </c>
      <c r="D27" s="40">
        <f>IMAGE("https://raw.githubusercontent.com/stautonico/pokemon-home-pokedex/main/sprites/marill.png", 2)</f>
        <v>0</v>
      </c>
      <c r="E27" s="40">
        <f>IMAGE("https://raw.githubusercontent.com/stautonico/pokemon-home-pokedex/main/sprites/azumarill.png", 2)</f>
        <v>0</v>
      </c>
      <c r="F27" s="40">
        <f>IMAGE("https://raw.githubusercontent.com/stautonico/pokemon-home-pokedex/main/sprites/sudowoodo.png", 2)</f>
        <v>0</v>
      </c>
      <c r="G27" s="40">
        <f>IMAGE("https://raw.githubusercontent.com/stautonico/pokemon-home-pokedex/main/sprites/politoed.png", 2)</f>
        <v>0</v>
      </c>
      <c r="I27" s="40">
        <f>IMAGE("https://raw.githubusercontent.com/stautonico/pokemon-home-pokedex/main/sprites/qwilfish.png", 2)</f>
        <v>0</v>
      </c>
      <c r="J27" s="40">
        <f>IMAGE("https://raw.githubusercontent.com/stautonico/pokemon-home-pokedex/main/sprites/scizor.png", 2)</f>
        <v>0</v>
      </c>
      <c r="K27" s="40">
        <f>IMAGE("https://raw.githubusercontent.com/stautonico/pokemon-home-pokedex/main/sprites/shuckle.png", 2)</f>
        <v>0</v>
      </c>
      <c r="L27" s="40">
        <f>IMAGE("https://raw.githubusercontent.com/stautonico/pokemon-home-pokedex/main/sprites/heracross.png", 2)</f>
        <v>0</v>
      </c>
      <c r="M27" s="40">
        <f>IMAGE("https://raw.githubusercontent.com/stautonico/pokemon-home-pokedex/main/sprites/sneasel.png", 2)</f>
        <v>0</v>
      </c>
      <c r="N27" s="40">
        <f>IMAGE("https://raw.githubusercontent.com/stautonico/pokemon-home-pokedex/main/sprites/teddiursa.png", 2)</f>
        <v>0</v>
      </c>
    </row>
    <row r="28" spans="2:14" ht="72" customHeight="1">
      <c r="B28" s="40">
        <f>IMAGE("https://raw.githubusercontent.com/stautonico/pokemon-home-pokedex/main/sprites/hoppip.png", 2)</f>
        <v>0</v>
      </c>
      <c r="C28" s="40">
        <f>IMAGE("https://raw.githubusercontent.com/stautonico/pokemon-home-pokedex/main/sprites/skiploom.png", 2)</f>
        <v>0</v>
      </c>
      <c r="D28" s="40">
        <f>IMAGE("https://raw.githubusercontent.com/stautonico/pokemon-home-pokedex/main/sprites/jumpluff.png", 2)</f>
        <v>0</v>
      </c>
      <c r="E28" s="40">
        <f>IMAGE("https://raw.githubusercontent.com/stautonico/pokemon-home-pokedex/main/sprites/aipom.png", 2)</f>
        <v>0</v>
      </c>
      <c r="F28" s="40">
        <f>IMAGE("https://raw.githubusercontent.com/stautonico/pokemon-home-pokedex/main/sprites/sunkern.png", 2)</f>
        <v>0</v>
      </c>
      <c r="G28" s="40">
        <f>IMAGE("https://raw.githubusercontent.com/stautonico/pokemon-home-pokedex/main/sprites/sunflora.png", 2)</f>
        <v>0</v>
      </c>
      <c r="I28" s="40">
        <f>IMAGE("https://raw.githubusercontent.com/stautonico/pokemon-home-pokedex/main/sprites/ursaring.png", 2)</f>
        <v>0</v>
      </c>
      <c r="J28" s="40">
        <f>IMAGE("https://raw.githubusercontent.com/stautonico/pokemon-home-pokedex/main/sprites/slugma.png", 2)</f>
        <v>0</v>
      </c>
      <c r="K28" s="40">
        <f>IMAGE("https://raw.githubusercontent.com/stautonico/pokemon-home-pokedex/main/sprites/magcargo.png", 2)</f>
        <v>0</v>
      </c>
      <c r="L28" s="40">
        <f>IMAGE("https://raw.githubusercontent.com/stautonico/pokemon-home-pokedex/main/sprites/swinub.png", 2)</f>
        <v>0</v>
      </c>
      <c r="M28" s="40">
        <f>IMAGE("https://raw.githubusercontent.com/stautonico/pokemon-home-pokedex/main/sprites/piloswine.png", 2)</f>
        <v>0</v>
      </c>
      <c r="N28" s="40">
        <f>IMAGE("https://raw.githubusercontent.com/stautonico/pokemon-home-pokedex/main/sprites/corsola.png", 2)</f>
        <v>0</v>
      </c>
    </row>
    <row r="29" spans="2:14" ht="72" customHeight="1">
      <c r="B29" s="40">
        <f>IMAGE("https://raw.githubusercontent.com/stautonico/pokemon-home-pokedex/main/sprites/yanma.png", 2)</f>
        <v>0</v>
      </c>
      <c r="C29" s="40">
        <f>IMAGE("https://raw.githubusercontent.com/stautonico/pokemon-home-pokedex/main/sprites/wooper.png", 2)</f>
        <v>0</v>
      </c>
      <c r="D29" s="40">
        <f>IMAGE("https://raw.githubusercontent.com/stautonico/pokemon-home-pokedex/main/sprites/quagsire.png", 2)</f>
        <v>0</v>
      </c>
      <c r="E29" s="40">
        <f>IMAGE("https://raw.githubusercontent.com/stautonico/pokemon-home-pokedex/main/sprites/espeon.png", 2)</f>
        <v>0</v>
      </c>
      <c r="F29" s="40">
        <f>IMAGE("https://raw.githubusercontent.com/stautonico/pokemon-home-pokedex/main/sprites/umbreon.png", 2)</f>
        <v>0</v>
      </c>
      <c r="G29" s="40">
        <f>IMAGE("https://raw.githubusercontent.com/stautonico/pokemon-home-pokedex/main/sprites/murkrow.png", 2)</f>
        <v>0</v>
      </c>
      <c r="I29" s="40">
        <f>IMAGE("https://raw.githubusercontent.com/stautonico/pokemon-home-pokedex/main/sprites/remoraid.png", 2)</f>
        <v>0</v>
      </c>
      <c r="J29" s="40">
        <f>IMAGE("https://raw.githubusercontent.com/stautonico/pokemon-home-pokedex/main/sprites/octillery.png", 2)</f>
        <v>0</v>
      </c>
      <c r="K29" s="40">
        <f>IMAGE("https://raw.githubusercontent.com/stautonico/pokemon-home-pokedex/main/sprites/delibird.png", 2)</f>
        <v>0</v>
      </c>
      <c r="L29" s="40">
        <f>IMAGE("https://raw.githubusercontent.com/stautonico/pokemon-home-pokedex/main/sprites/mantine.png", 2)</f>
        <v>0</v>
      </c>
      <c r="M29" s="40">
        <f>IMAGE("https://raw.githubusercontent.com/stautonico/pokemon-home-pokedex/main/sprites/skarmory.png", 2)</f>
        <v>0</v>
      </c>
      <c r="N29" s="40">
        <f>IMAGE("https://raw.githubusercontent.com/stautonico/pokemon-home-pokedex/main/sprites/houndour.png", 2)</f>
        <v>0</v>
      </c>
    </row>
    <row r="30" spans="2:14" ht="72" customHeight="1">
      <c r="B30" s="40">
        <f>IMAGE("https://raw.githubusercontent.com/stautonico/pokemon-home-pokedex/main/sprites/slowking.png", 2)</f>
        <v>0</v>
      </c>
      <c r="C30" s="40">
        <f>IMAGE("https://raw.githubusercontent.com/stautonico/pokemon-home-pokedex/main/sprites/misdreavus.png", 2)</f>
        <v>0</v>
      </c>
      <c r="D30" s="40">
        <f>IMAGE("https://raw.githubusercontent.com/stautonico/pokemon-home-pokedex/main/sprites/unown.png", 2)</f>
        <v>0</v>
      </c>
      <c r="E30" s="40">
        <f>IMAGE("https://raw.githubusercontent.com/stautonico/pokemon-home-pokedex/main/sprites/wobbuffet.png", 2)</f>
        <v>0</v>
      </c>
      <c r="F30" s="40">
        <f>IMAGE("https://raw.githubusercontent.com/stautonico/pokemon-home-pokedex/main/sprites/girafarig.png", 2)</f>
        <v>0</v>
      </c>
      <c r="G30" s="40">
        <f>IMAGE("https://raw.githubusercontent.com/stautonico/pokemon-home-pokedex/main/sprites/pineco.png", 2)</f>
        <v>0</v>
      </c>
      <c r="I30" s="40">
        <f>IMAGE("https://raw.githubusercontent.com/stautonico/pokemon-home-pokedex/main/sprites/houndoom.png", 2)</f>
        <v>0</v>
      </c>
      <c r="J30" s="40">
        <f>IMAGE("https://raw.githubusercontent.com/stautonico/pokemon-home-pokedex/main/sprites/kingdra.png", 2)</f>
        <v>0</v>
      </c>
      <c r="K30" s="40">
        <f>IMAGE("https://raw.githubusercontent.com/stautonico/pokemon-home-pokedex/main/sprites/phanpy.png", 2)</f>
        <v>0</v>
      </c>
      <c r="L30" s="40">
        <f>IMAGE("https://raw.githubusercontent.com/stautonico/pokemon-home-pokedex/main/sprites/donphan.png", 2)</f>
        <v>0</v>
      </c>
      <c r="M30" s="40">
        <f>IMAGE("https://raw.githubusercontent.com/stautonico/pokemon-home-pokedex/main/sprites/porygon2.png", 2)</f>
        <v>0</v>
      </c>
      <c r="N30" s="40">
        <f>IMAGE("https://raw.githubusercontent.com/stautonico/pokemon-home-pokedex/main/sprites/stantler.png", 2)</f>
        <v>0</v>
      </c>
    </row>
    <row r="31" spans="2:14" ht="72" customHeight="1">
      <c r="B31" s="40">
        <f>IMAGE("https://raw.githubusercontent.com/stautonico/pokemon-home-pokedex/main/sprites/forretress.png", 2)</f>
        <v>0</v>
      </c>
      <c r="C31" s="40">
        <f>IMAGE("https://raw.githubusercontent.com/stautonico/pokemon-home-pokedex/main/sprites/dunsparce.png", 2)</f>
        <v>0</v>
      </c>
      <c r="D31" s="40">
        <f>IMAGE("https://raw.githubusercontent.com/stautonico/pokemon-home-pokedex/main/sprites/gligar.png", 2)</f>
        <v>0</v>
      </c>
      <c r="E31" s="40">
        <f>IMAGE("https://raw.githubusercontent.com/stautonico/pokemon-home-pokedex/main/sprites/steelix.png", 2)</f>
        <v>0</v>
      </c>
      <c r="F31" s="40">
        <f>IMAGE("https://raw.githubusercontent.com/stautonico/pokemon-home-pokedex/main/sprites/snubbull.png", 2)</f>
        <v>0</v>
      </c>
      <c r="G31" s="40">
        <f>IMAGE("https://raw.githubusercontent.com/stautonico/pokemon-home-pokedex/main/sprites/granbull.png", 2)</f>
        <v>0</v>
      </c>
      <c r="I31" s="40">
        <f>IMAGE("https://raw.githubusercontent.com/stautonico/pokemon-home-pokedex/main/sprites/smeargle.png", 2)</f>
        <v>0</v>
      </c>
      <c r="J31" s="40">
        <f>IMAGE("https://raw.githubusercontent.com/stautonico/pokemon-home-pokedex/main/sprites/tyrogue.png", 2)</f>
        <v>0</v>
      </c>
      <c r="K31" s="40">
        <f>IMAGE("https://raw.githubusercontent.com/stautonico/pokemon-home-pokedex/main/sprites/hitmontop.png", 2)</f>
        <v>0</v>
      </c>
      <c r="L31" s="40">
        <f>IMAGE("https://raw.githubusercontent.com/stautonico/pokemon-home-pokedex/main/sprites/smoochum.png", 2)</f>
        <v>0</v>
      </c>
      <c r="M31" s="40">
        <f>IMAGE("https://raw.githubusercontent.com/stautonico/pokemon-home-pokedex/main/sprites/elekid.png", 2)</f>
        <v>0</v>
      </c>
      <c r="N31" s="40">
        <f>IMAGE("https://raw.githubusercontent.com/stautonico/pokemon-home-pokedex/main/sprites/magby.png", 2)</f>
        <v>0</v>
      </c>
    </row>
    <row r="34" spans="2:14">
      <c r="B34" s="39" t="s">
        <v>1328</v>
      </c>
      <c r="I34" s="39" t="s">
        <v>1329</v>
      </c>
    </row>
    <row r="35" spans="2:14" ht="72" customHeight="1">
      <c r="B35" s="40">
        <f>IMAGE("https://raw.githubusercontent.com/stautonico/pokemon-home-pokedex/main/sprites/miltank.png", 2)</f>
        <v>0</v>
      </c>
      <c r="C35" s="40">
        <f>IMAGE("https://raw.githubusercontent.com/stautonico/pokemon-home-pokedex/main/sprites/blissey.png", 2)</f>
        <v>0</v>
      </c>
      <c r="D35" s="40">
        <f>IMAGE("https://raw.githubusercontent.com/stautonico/pokemon-home-pokedex/main/sprites/raikou.png", 2)</f>
        <v>0</v>
      </c>
      <c r="E35" s="40">
        <f>IMAGE("https://raw.githubusercontent.com/stautonico/pokemon-home-pokedex/main/sprites/entei.png", 2)</f>
        <v>0</v>
      </c>
      <c r="F35" s="40">
        <f>IMAGE("https://raw.githubusercontent.com/stautonico/pokemon-home-pokedex/main/sprites/suicune.png", 2)</f>
        <v>0</v>
      </c>
      <c r="G35" s="40">
        <f>IMAGE("https://raw.githubusercontent.com/stautonico/pokemon-home-pokedex/main/sprites/larvitar.png", 2)</f>
        <v>0</v>
      </c>
      <c r="I35" s="40">
        <f>IMAGE("https://raw.githubusercontent.com/stautonico/pokemon-home-pokedex/main/sprites/lombre.png", 2)</f>
        <v>0</v>
      </c>
      <c r="J35" s="40">
        <f>IMAGE("https://raw.githubusercontent.com/stautonico/pokemon-home-pokedex/main/sprites/ludicolo.png", 2)</f>
        <v>0</v>
      </c>
      <c r="K35" s="40">
        <f>IMAGE("https://raw.githubusercontent.com/stautonico/pokemon-home-pokedex/main/sprites/seedot.png", 2)</f>
        <v>0</v>
      </c>
      <c r="L35" s="40">
        <f>IMAGE("https://raw.githubusercontent.com/stautonico/pokemon-home-pokedex/main/sprites/nuzleaf.png", 2)</f>
        <v>0</v>
      </c>
      <c r="M35" s="40">
        <f>IMAGE("https://raw.githubusercontent.com/stautonico/pokemon-home-pokedex/main/sprites/shiftry.png", 2)</f>
        <v>0</v>
      </c>
      <c r="N35" s="40">
        <f>IMAGE("https://raw.githubusercontent.com/stautonico/pokemon-home-pokedex/main/sprites/taillow.png", 2)</f>
        <v>0</v>
      </c>
    </row>
    <row r="36" spans="2:14" ht="72" customHeight="1">
      <c r="B36" s="40">
        <f>IMAGE("https://raw.githubusercontent.com/stautonico/pokemon-home-pokedex/main/sprites/pupitar.png", 2)</f>
        <v>0</v>
      </c>
      <c r="C36" s="40">
        <f>IMAGE("https://raw.githubusercontent.com/stautonico/pokemon-home-pokedex/main/sprites/tyranitar.png", 2)</f>
        <v>0</v>
      </c>
      <c r="D36" s="40">
        <f>IMAGE("https://raw.githubusercontent.com/stautonico/pokemon-home-pokedex/main/sprites/lugia.png", 2)</f>
        <v>0</v>
      </c>
      <c r="E36" s="40">
        <f>IMAGE("https://raw.githubusercontent.com/stautonico/pokemon-home-pokedex/main/sprites/hooh.png", 2)</f>
        <v>0</v>
      </c>
      <c r="F36" s="40">
        <f>IMAGE("https://raw.githubusercontent.com/stautonico/pokemon-home-pokedex/main/sprites/celebi.png", 2)</f>
        <v>0</v>
      </c>
      <c r="G36" s="40">
        <f>IMAGE("https://raw.githubusercontent.com/stautonico/pokemon-home-pokedex/main/sprites/treecko.png", 2)</f>
        <v>0</v>
      </c>
      <c r="I36" s="40">
        <f>IMAGE("https://raw.githubusercontent.com/stautonico/pokemon-home-pokedex/main/sprites/swellow.png", 2)</f>
        <v>0</v>
      </c>
      <c r="J36" s="40">
        <f>IMAGE("https://raw.githubusercontent.com/stautonico/pokemon-home-pokedex/main/sprites/wingull.png", 2)</f>
        <v>0</v>
      </c>
      <c r="K36" s="40">
        <f>IMAGE("https://raw.githubusercontent.com/stautonico/pokemon-home-pokedex/main/sprites/pelipper.png", 2)</f>
        <v>0</v>
      </c>
      <c r="L36" s="40">
        <f>IMAGE("https://raw.githubusercontent.com/stautonico/pokemon-home-pokedex/main/sprites/ralts.png", 2)</f>
        <v>0</v>
      </c>
      <c r="M36" s="40">
        <f>IMAGE("https://raw.githubusercontent.com/stautonico/pokemon-home-pokedex/main/sprites/kirlia.png", 2)</f>
        <v>0</v>
      </c>
      <c r="N36" s="40">
        <f>IMAGE("https://raw.githubusercontent.com/stautonico/pokemon-home-pokedex/main/sprites/gardevoir.png", 2)</f>
        <v>0</v>
      </c>
    </row>
    <row r="37" spans="2:14" ht="72" customHeight="1">
      <c r="B37" s="40">
        <f>IMAGE("https://raw.githubusercontent.com/stautonico/pokemon-home-pokedex/main/sprites/grovyle.png", 2)</f>
        <v>0</v>
      </c>
      <c r="C37" s="40">
        <f>IMAGE("https://raw.githubusercontent.com/stautonico/pokemon-home-pokedex/main/sprites/sceptile.png", 2)</f>
        <v>0</v>
      </c>
      <c r="D37" s="40">
        <f>IMAGE("https://raw.githubusercontent.com/stautonico/pokemon-home-pokedex/main/sprites/torchic.png", 2)</f>
        <v>0</v>
      </c>
      <c r="E37" s="40">
        <f>IMAGE("https://raw.githubusercontent.com/stautonico/pokemon-home-pokedex/main/sprites/combusken.png", 2)</f>
        <v>0</v>
      </c>
      <c r="F37" s="40">
        <f>IMAGE("https://raw.githubusercontent.com/stautonico/pokemon-home-pokedex/main/sprites/blaziken.png", 2)</f>
        <v>0</v>
      </c>
      <c r="G37" s="40">
        <f>IMAGE("https://raw.githubusercontent.com/stautonico/pokemon-home-pokedex/main/sprites/mudkip.png", 2)</f>
        <v>0</v>
      </c>
      <c r="I37" s="40">
        <f>IMAGE("https://raw.githubusercontent.com/stautonico/pokemon-home-pokedex/main/sprites/surskit.png", 2)</f>
        <v>0</v>
      </c>
      <c r="J37" s="40">
        <f>IMAGE("https://raw.githubusercontent.com/stautonico/pokemon-home-pokedex/main/sprites/masquerain.png", 2)</f>
        <v>0</v>
      </c>
      <c r="K37" s="40">
        <f>IMAGE("https://raw.githubusercontent.com/stautonico/pokemon-home-pokedex/main/sprites/shroomish.png", 2)</f>
        <v>0</v>
      </c>
      <c r="L37" s="40">
        <f>IMAGE("https://raw.githubusercontent.com/stautonico/pokemon-home-pokedex/main/sprites/breloom.png", 2)</f>
        <v>0</v>
      </c>
      <c r="M37" s="40">
        <f>IMAGE("https://raw.githubusercontent.com/stautonico/pokemon-home-pokedex/main/sprites/slakoth.png", 2)</f>
        <v>0</v>
      </c>
      <c r="N37" s="40">
        <f>IMAGE("https://raw.githubusercontent.com/stautonico/pokemon-home-pokedex/main/sprites/vigoroth.png", 2)</f>
        <v>0</v>
      </c>
    </row>
    <row r="38" spans="2:14" ht="72" customHeight="1">
      <c r="B38" s="40">
        <f>IMAGE("https://raw.githubusercontent.com/stautonico/pokemon-home-pokedex/main/sprites/marshtomp.png", 2)</f>
        <v>0</v>
      </c>
      <c r="C38" s="40">
        <f>IMAGE("https://raw.githubusercontent.com/stautonico/pokemon-home-pokedex/main/sprites/swampert.png", 2)</f>
        <v>0</v>
      </c>
      <c r="D38" s="40">
        <f>IMAGE("https://raw.githubusercontent.com/stautonico/pokemon-home-pokedex/main/sprites/poochyena.png", 2)</f>
        <v>0</v>
      </c>
      <c r="E38" s="40">
        <f>IMAGE("https://raw.githubusercontent.com/stautonico/pokemon-home-pokedex/main/sprites/mightyena.png", 2)</f>
        <v>0</v>
      </c>
      <c r="F38" s="40">
        <f>IMAGE("https://raw.githubusercontent.com/stautonico/pokemon-home-pokedex/main/sprites/zigzagoon.png", 2)</f>
        <v>0</v>
      </c>
      <c r="G38" s="40">
        <f>IMAGE("https://raw.githubusercontent.com/stautonico/pokemon-home-pokedex/main/sprites/linoone.png", 2)</f>
        <v>0</v>
      </c>
      <c r="I38" s="40">
        <f>IMAGE("https://raw.githubusercontent.com/stautonico/pokemon-home-pokedex/main/sprites/slaking.png", 2)</f>
        <v>0</v>
      </c>
      <c r="J38" s="40">
        <f>IMAGE("https://raw.githubusercontent.com/stautonico/pokemon-home-pokedex/main/sprites/nincada.png", 2)</f>
        <v>0</v>
      </c>
      <c r="K38" s="40">
        <f>IMAGE("https://raw.githubusercontent.com/stautonico/pokemon-home-pokedex/main/sprites/ninjask.png", 2)</f>
        <v>0</v>
      </c>
      <c r="L38" s="40">
        <f>IMAGE("https://raw.githubusercontent.com/stautonico/pokemon-home-pokedex/main/sprites/shedinja.png", 2)</f>
        <v>0</v>
      </c>
      <c r="M38" s="40">
        <f>IMAGE("https://raw.githubusercontent.com/stautonico/pokemon-home-pokedex/main/sprites/whismur.png", 2)</f>
        <v>0</v>
      </c>
      <c r="N38" s="40">
        <f>IMAGE("https://raw.githubusercontent.com/stautonico/pokemon-home-pokedex/main/sprites/loudred.png", 2)</f>
        <v>0</v>
      </c>
    </row>
    <row r="39" spans="2:14" ht="72" customHeight="1">
      <c r="B39" s="40">
        <f>IMAGE("https://raw.githubusercontent.com/stautonico/pokemon-home-pokedex/main/sprites/wurmple.png", 2)</f>
        <v>0</v>
      </c>
      <c r="C39" s="40">
        <f>IMAGE("https://raw.githubusercontent.com/stautonico/pokemon-home-pokedex/main/sprites/silcoon.png", 2)</f>
        <v>0</v>
      </c>
      <c r="D39" s="40">
        <f>IMAGE("https://raw.githubusercontent.com/stautonico/pokemon-home-pokedex/main/sprites/beautifly.png", 2)</f>
        <v>0</v>
      </c>
      <c r="E39" s="40">
        <f>IMAGE("https://raw.githubusercontent.com/stautonico/pokemon-home-pokedex/main/sprites/cascoon.png", 2)</f>
        <v>0</v>
      </c>
      <c r="F39" s="40">
        <f>IMAGE("https://raw.githubusercontent.com/stautonico/pokemon-home-pokedex/main/sprites/dustox.png", 2)</f>
        <v>0</v>
      </c>
      <c r="G39" s="40">
        <f>IMAGE("https://raw.githubusercontent.com/stautonico/pokemon-home-pokedex/main/sprites/lotad.png", 2)</f>
        <v>0</v>
      </c>
      <c r="I39" s="40">
        <f>IMAGE("https://raw.githubusercontent.com/stautonico/pokemon-home-pokedex/main/sprites/exploud.png", 2)</f>
        <v>0</v>
      </c>
      <c r="J39" s="40">
        <f>IMAGE("https://raw.githubusercontent.com/stautonico/pokemon-home-pokedex/main/sprites/makuhita.png", 2)</f>
        <v>0</v>
      </c>
      <c r="K39" s="40">
        <f>IMAGE("https://raw.githubusercontent.com/stautonico/pokemon-home-pokedex/main/sprites/hariyama.png", 2)</f>
        <v>0</v>
      </c>
      <c r="L39" s="40">
        <f>IMAGE("https://raw.githubusercontent.com/stautonico/pokemon-home-pokedex/main/sprites/azurill.png", 2)</f>
        <v>0</v>
      </c>
      <c r="M39" s="40">
        <f>IMAGE("https://raw.githubusercontent.com/stautonico/pokemon-home-pokedex/main/sprites/nosepass.png", 2)</f>
        <v>0</v>
      </c>
      <c r="N39" s="40">
        <f>IMAGE("https://raw.githubusercontent.com/stautonico/pokemon-home-pokedex/main/sprites/skitty.png", 2)</f>
        <v>0</v>
      </c>
    </row>
    <row r="42" spans="2:14">
      <c r="B42" s="39" t="s">
        <v>1330</v>
      </c>
      <c r="I42" s="39" t="s">
        <v>1331</v>
      </c>
    </row>
    <row r="43" spans="2:14" ht="72" customHeight="1">
      <c r="B43" s="40">
        <f>IMAGE("https://raw.githubusercontent.com/stautonico/pokemon-home-pokedex/main/sprites/delcatty.png", 2)</f>
        <v>0</v>
      </c>
      <c r="C43" s="40">
        <f>IMAGE("https://raw.githubusercontent.com/stautonico/pokemon-home-pokedex/main/sprites/sableye.png", 2)</f>
        <v>0</v>
      </c>
      <c r="D43" s="40">
        <f>IMAGE("https://raw.githubusercontent.com/stautonico/pokemon-home-pokedex/main/sprites/mawile.png", 2)</f>
        <v>0</v>
      </c>
      <c r="E43" s="40">
        <f>IMAGE("https://raw.githubusercontent.com/stautonico/pokemon-home-pokedex/main/sprites/aron.png", 2)</f>
        <v>0</v>
      </c>
      <c r="F43" s="40">
        <f>IMAGE("https://raw.githubusercontent.com/stautonico/pokemon-home-pokedex/main/sprites/lairon.png", 2)</f>
        <v>0</v>
      </c>
      <c r="G43" s="40">
        <f>IMAGE("https://raw.githubusercontent.com/stautonico/pokemon-home-pokedex/main/sprites/aggron.png", 2)</f>
        <v>0</v>
      </c>
      <c r="I43" s="40">
        <f>IMAGE("https://raw.githubusercontent.com/stautonico/pokemon-home-pokedex/main/sprites/cacnea.png", 2)</f>
        <v>0</v>
      </c>
      <c r="J43" s="40">
        <f>IMAGE("https://raw.githubusercontent.com/stautonico/pokemon-home-pokedex/main/sprites/cacturne.png", 2)</f>
        <v>0</v>
      </c>
      <c r="K43" s="40">
        <f>IMAGE("https://raw.githubusercontent.com/stautonico/pokemon-home-pokedex/main/sprites/swablu.png", 2)</f>
        <v>0</v>
      </c>
      <c r="L43" s="40">
        <f>IMAGE("https://raw.githubusercontent.com/stautonico/pokemon-home-pokedex/main/sprites/altaria.png", 2)</f>
        <v>0</v>
      </c>
      <c r="M43" s="40">
        <f>IMAGE("https://raw.githubusercontent.com/stautonico/pokemon-home-pokedex/main/sprites/zangoose.png", 2)</f>
        <v>0</v>
      </c>
      <c r="N43" s="40">
        <f>IMAGE("https://raw.githubusercontent.com/stautonico/pokemon-home-pokedex/main/sprites/seviper.png", 2)</f>
        <v>0</v>
      </c>
    </row>
    <row r="44" spans="2:14" ht="72" customHeight="1">
      <c r="B44" s="40">
        <f>IMAGE("https://raw.githubusercontent.com/stautonico/pokemon-home-pokedex/main/sprites/meditite.png", 2)</f>
        <v>0</v>
      </c>
      <c r="C44" s="40">
        <f>IMAGE("https://raw.githubusercontent.com/stautonico/pokemon-home-pokedex/main/sprites/medicham.png", 2)</f>
        <v>0</v>
      </c>
      <c r="D44" s="40">
        <f>IMAGE("https://raw.githubusercontent.com/stautonico/pokemon-home-pokedex/main/sprites/electrike.png", 2)</f>
        <v>0</v>
      </c>
      <c r="E44" s="40">
        <f>IMAGE("https://raw.githubusercontent.com/stautonico/pokemon-home-pokedex/main/sprites/manectric.png", 2)</f>
        <v>0</v>
      </c>
      <c r="F44" s="40">
        <f>IMAGE("https://raw.githubusercontent.com/stautonico/pokemon-home-pokedex/main/sprites/plusle.png", 2)</f>
        <v>0</v>
      </c>
      <c r="G44" s="40">
        <f>IMAGE("https://raw.githubusercontent.com/stautonico/pokemon-home-pokedex/main/sprites/minun.png", 2)</f>
        <v>0</v>
      </c>
      <c r="I44" s="40">
        <f>IMAGE("https://raw.githubusercontent.com/stautonico/pokemon-home-pokedex/main/sprites/lunatone.png", 2)</f>
        <v>0</v>
      </c>
      <c r="J44" s="40">
        <f>IMAGE("https://raw.githubusercontent.com/stautonico/pokemon-home-pokedex/main/sprites/solrock.png", 2)</f>
        <v>0</v>
      </c>
      <c r="K44" s="40">
        <f>IMAGE("https://raw.githubusercontent.com/stautonico/pokemon-home-pokedex/main/sprites/barboach.png", 2)</f>
        <v>0</v>
      </c>
      <c r="L44" s="40">
        <f>IMAGE("https://raw.githubusercontent.com/stautonico/pokemon-home-pokedex/main/sprites/whiscash.png", 2)</f>
        <v>0</v>
      </c>
      <c r="M44" s="40">
        <f>IMAGE("https://raw.githubusercontent.com/stautonico/pokemon-home-pokedex/main/sprites/corphish.png", 2)</f>
        <v>0</v>
      </c>
      <c r="N44" s="40">
        <f>IMAGE("https://raw.githubusercontent.com/stautonico/pokemon-home-pokedex/main/sprites/crawdaunt.png", 2)</f>
        <v>0</v>
      </c>
    </row>
    <row r="45" spans="2:14" ht="72" customHeight="1">
      <c r="B45" s="40">
        <f>IMAGE("https://raw.githubusercontent.com/stautonico/pokemon-home-pokedex/main/sprites/volbeat.png", 2)</f>
        <v>0</v>
      </c>
      <c r="C45" s="40">
        <f>IMAGE("https://raw.githubusercontent.com/stautonico/pokemon-home-pokedex/main/sprites/illumise.png", 2)</f>
        <v>0</v>
      </c>
      <c r="D45" s="40">
        <f>IMAGE("https://raw.githubusercontent.com/stautonico/pokemon-home-pokedex/main/sprites/roselia.png", 2)</f>
        <v>0</v>
      </c>
      <c r="E45" s="40">
        <f>IMAGE("https://raw.githubusercontent.com/stautonico/pokemon-home-pokedex/main/sprites/gulpin.png", 2)</f>
        <v>0</v>
      </c>
      <c r="F45" s="40">
        <f>IMAGE("https://raw.githubusercontent.com/stautonico/pokemon-home-pokedex/main/sprites/swalot.png", 2)</f>
        <v>0</v>
      </c>
      <c r="G45" s="40">
        <f>IMAGE("https://raw.githubusercontent.com/stautonico/pokemon-home-pokedex/main/sprites/carvanha.png", 2)</f>
        <v>0</v>
      </c>
      <c r="I45" s="40">
        <f>IMAGE("https://raw.githubusercontent.com/stautonico/pokemon-home-pokedex/main/sprites/baltoy.png", 2)</f>
        <v>0</v>
      </c>
      <c r="J45" s="40">
        <f>IMAGE("https://raw.githubusercontent.com/stautonico/pokemon-home-pokedex/main/sprites/claydol.png", 2)</f>
        <v>0</v>
      </c>
      <c r="K45" s="40">
        <f>IMAGE("https://raw.githubusercontent.com/stautonico/pokemon-home-pokedex/main/sprites/lileep.png", 2)</f>
        <v>0</v>
      </c>
      <c r="L45" s="40">
        <f>IMAGE("https://raw.githubusercontent.com/stautonico/pokemon-home-pokedex/main/sprites/cradily.png", 2)</f>
        <v>0</v>
      </c>
      <c r="M45" s="40">
        <f>IMAGE("https://raw.githubusercontent.com/stautonico/pokemon-home-pokedex/main/sprites/anorith.png", 2)</f>
        <v>0</v>
      </c>
      <c r="N45" s="40">
        <f>IMAGE("https://raw.githubusercontent.com/stautonico/pokemon-home-pokedex/main/sprites/armaldo.png", 2)</f>
        <v>0</v>
      </c>
    </row>
    <row r="46" spans="2:14" ht="72" customHeight="1">
      <c r="B46" s="40">
        <f>IMAGE("https://raw.githubusercontent.com/stautonico/pokemon-home-pokedex/main/sprites/sharpedo.png", 2)</f>
        <v>0</v>
      </c>
      <c r="C46" s="40">
        <f>IMAGE("https://raw.githubusercontent.com/stautonico/pokemon-home-pokedex/main/sprites/wailmer.png", 2)</f>
        <v>0</v>
      </c>
      <c r="D46" s="40">
        <f>IMAGE("https://raw.githubusercontent.com/stautonico/pokemon-home-pokedex/main/sprites/wailord.png", 2)</f>
        <v>0</v>
      </c>
      <c r="E46" s="40">
        <f>IMAGE("https://raw.githubusercontent.com/stautonico/pokemon-home-pokedex/main/sprites/numel.png", 2)</f>
        <v>0</v>
      </c>
      <c r="F46" s="40">
        <f>IMAGE("https://raw.githubusercontent.com/stautonico/pokemon-home-pokedex/main/sprites/camerupt.png", 2)</f>
        <v>0</v>
      </c>
      <c r="G46" s="40">
        <f>IMAGE("https://raw.githubusercontent.com/stautonico/pokemon-home-pokedex/main/sprites/torkoal.png", 2)</f>
        <v>0</v>
      </c>
      <c r="I46" s="40">
        <f>IMAGE("https://raw.githubusercontent.com/stautonico/pokemon-home-pokedex/main/sprites/feebas.png", 2)</f>
        <v>0</v>
      </c>
      <c r="J46" s="40">
        <f>IMAGE("https://raw.githubusercontent.com/stautonico/pokemon-home-pokedex/main/sprites/milotic.png", 2)</f>
        <v>0</v>
      </c>
      <c r="K46" s="40">
        <f>IMAGE("https://raw.githubusercontent.com/stautonico/pokemon-home-pokedex/main/sprites/castform.png", 2)</f>
        <v>0</v>
      </c>
      <c r="L46" s="40">
        <f>IMAGE("https://raw.githubusercontent.com/stautonico/pokemon-home-pokedex/main/sprites/kecleon.png", 2)</f>
        <v>0</v>
      </c>
      <c r="M46" s="40">
        <f>IMAGE("https://raw.githubusercontent.com/stautonico/pokemon-home-pokedex/main/sprites/shuppet.png", 2)</f>
        <v>0</v>
      </c>
      <c r="N46" s="40">
        <f>IMAGE("https://raw.githubusercontent.com/stautonico/pokemon-home-pokedex/main/sprites/banette.png", 2)</f>
        <v>0</v>
      </c>
    </row>
    <row r="47" spans="2:14" ht="72" customHeight="1">
      <c r="B47" s="40">
        <f>IMAGE("https://raw.githubusercontent.com/stautonico/pokemon-home-pokedex/main/sprites/spoink.png", 2)</f>
        <v>0</v>
      </c>
      <c r="C47" s="40">
        <f>IMAGE("https://raw.githubusercontent.com/stautonico/pokemon-home-pokedex/main/sprites/grumpig.png", 2)</f>
        <v>0</v>
      </c>
      <c r="D47" s="40">
        <f>IMAGE("https://raw.githubusercontent.com/stautonico/pokemon-home-pokedex/main/sprites/spinda.png", 2)</f>
        <v>0</v>
      </c>
      <c r="E47" s="40">
        <f>IMAGE("https://raw.githubusercontent.com/stautonico/pokemon-home-pokedex/main/sprites/trapinch.png", 2)</f>
        <v>0</v>
      </c>
      <c r="F47" s="40">
        <f>IMAGE("https://raw.githubusercontent.com/stautonico/pokemon-home-pokedex/main/sprites/vibrava.png", 2)</f>
        <v>0</v>
      </c>
      <c r="G47" s="40">
        <f>IMAGE("https://raw.githubusercontent.com/stautonico/pokemon-home-pokedex/main/sprites/flygon.png", 2)</f>
        <v>0</v>
      </c>
      <c r="I47" s="40">
        <f>IMAGE("https://raw.githubusercontent.com/stautonico/pokemon-home-pokedex/main/sprites/duskull.png", 2)</f>
        <v>0</v>
      </c>
      <c r="J47" s="40">
        <f>IMAGE("https://raw.githubusercontent.com/stautonico/pokemon-home-pokedex/main/sprites/dusclops.png", 2)</f>
        <v>0</v>
      </c>
      <c r="K47" s="40">
        <f>IMAGE("https://raw.githubusercontent.com/stautonico/pokemon-home-pokedex/main/sprites/tropius.png", 2)</f>
        <v>0</v>
      </c>
      <c r="L47" s="40">
        <f>IMAGE("https://raw.githubusercontent.com/stautonico/pokemon-home-pokedex/main/sprites/chimecho.png", 2)</f>
        <v>0</v>
      </c>
      <c r="M47" s="40">
        <f>IMAGE("https://raw.githubusercontent.com/stautonico/pokemon-home-pokedex/main/sprites/absol.png", 2)</f>
        <v>0</v>
      </c>
      <c r="N47" s="40">
        <f>IMAGE("https://raw.githubusercontent.com/stautonico/pokemon-home-pokedex/main/sprites/wynaut.png", 2)</f>
        <v>0</v>
      </c>
    </row>
    <row r="50" spans="2:14">
      <c r="B50" s="39" t="s">
        <v>1332</v>
      </c>
      <c r="I50" s="39" t="s">
        <v>1333</v>
      </c>
    </row>
    <row r="51" spans="2:14" ht="72" customHeight="1">
      <c r="B51" s="40">
        <f>IMAGE("https://raw.githubusercontent.com/stautonico/pokemon-home-pokedex/main/sprites/snorunt.png", 2)</f>
        <v>0</v>
      </c>
      <c r="C51" s="40">
        <f>IMAGE("https://raw.githubusercontent.com/stautonico/pokemon-home-pokedex/main/sprites/glalie.png", 2)</f>
        <v>0</v>
      </c>
      <c r="D51" s="40">
        <f>IMAGE("https://raw.githubusercontent.com/stautonico/pokemon-home-pokedex/main/sprites/spheal.png", 2)</f>
        <v>0</v>
      </c>
      <c r="E51" s="40">
        <f>IMAGE("https://raw.githubusercontent.com/stautonico/pokemon-home-pokedex/main/sprites/sealeo.png", 2)</f>
        <v>0</v>
      </c>
      <c r="F51" s="40">
        <f>IMAGE("https://raw.githubusercontent.com/stautonico/pokemon-home-pokedex/main/sprites/walrein.png", 2)</f>
        <v>0</v>
      </c>
      <c r="G51" s="40">
        <f>IMAGE("https://raw.githubusercontent.com/stautonico/pokemon-home-pokedex/main/sprites/clamperl.png", 2)</f>
        <v>0</v>
      </c>
      <c r="I51" s="40">
        <f>IMAGE("https://raw.githubusercontent.com/stautonico/pokemon-home-pokedex/main/sprites/monferno.png", 2)</f>
        <v>0</v>
      </c>
      <c r="J51" s="40">
        <f>IMAGE("https://raw.githubusercontent.com/stautonico/pokemon-home-pokedex/main/sprites/infernape.png", 2)</f>
        <v>0</v>
      </c>
      <c r="K51" s="40">
        <f>IMAGE("https://raw.githubusercontent.com/stautonico/pokemon-home-pokedex/main/sprites/piplup.png", 2)</f>
        <v>0</v>
      </c>
      <c r="L51" s="40">
        <f>IMAGE("https://raw.githubusercontent.com/stautonico/pokemon-home-pokedex/main/sprites/prinplup.png", 2)</f>
        <v>0</v>
      </c>
      <c r="M51" s="40">
        <f>IMAGE("https://raw.githubusercontent.com/stautonico/pokemon-home-pokedex/main/sprites/empoleon.png", 2)</f>
        <v>0</v>
      </c>
      <c r="N51" s="40">
        <f>IMAGE("https://raw.githubusercontent.com/stautonico/pokemon-home-pokedex/main/sprites/starly.png", 2)</f>
        <v>0</v>
      </c>
    </row>
    <row r="52" spans="2:14" ht="72" customHeight="1">
      <c r="B52" s="40">
        <f>IMAGE("https://raw.githubusercontent.com/stautonico/pokemon-home-pokedex/main/sprites/huntail.png", 2)</f>
        <v>0</v>
      </c>
      <c r="C52" s="40">
        <f>IMAGE("https://raw.githubusercontent.com/stautonico/pokemon-home-pokedex/main/sprites/gorebyss.png", 2)</f>
        <v>0</v>
      </c>
      <c r="D52" s="40">
        <f>IMAGE("https://raw.githubusercontent.com/stautonico/pokemon-home-pokedex/main/sprites/relicanth.png", 2)</f>
        <v>0</v>
      </c>
      <c r="E52" s="40">
        <f>IMAGE("https://raw.githubusercontent.com/stautonico/pokemon-home-pokedex/main/sprites/luvdisc.png", 2)</f>
        <v>0</v>
      </c>
      <c r="F52" s="40">
        <f>IMAGE("https://raw.githubusercontent.com/stautonico/pokemon-home-pokedex/main/sprites/bagon.png", 2)</f>
        <v>0</v>
      </c>
      <c r="G52" s="40">
        <f>IMAGE("https://raw.githubusercontent.com/stautonico/pokemon-home-pokedex/main/sprites/shelgon.png", 2)</f>
        <v>0</v>
      </c>
      <c r="I52" s="40">
        <f>IMAGE("https://raw.githubusercontent.com/stautonico/pokemon-home-pokedex/main/sprites/staravia.png", 2)</f>
        <v>0</v>
      </c>
      <c r="J52" s="40">
        <f>IMAGE("https://raw.githubusercontent.com/stautonico/pokemon-home-pokedex/main/sprites/staraptor.png", 2)</f>
        <v>0</v>
      </c>
      <c r="K52" s="40">
        <f>IMAGE("https://raw.githubusercontent.com/stautonico/pokemon-home-pokedex/main/sprites/bidoof.png", 2)</f>
        <v>0</v>
      </c>
      <c r="L52" s="40">
        <f>IMAGE("https://raw.githubusercontent.com/stautonico/pokemon-home-pokedex/main/sprites/bibarel.png", 2)</f>
        <v>0</v>
      </c>
      <c r="M52" s="40">
        <f>IMAGE("https://raw.githubusercontent.com/stautonico/pokemon-home-pokedex/main/sprites/kricketot.png", 2)</f>
        <v>0</v>
      </c>
      <c r="N52" s="40">
        <f>IMAGE("https://raw.githubusercontent.com/stautonico/pokemon-home-pokedex/main/sprites/kricketune.png", 2)</f>
        <v>0</v>
      </c>
    </row>
    <row r="53" spans="2:14" ht="72" customHeight="1">
      <c r="B53" s="40">
        <f>IMAGE("https://raw.githubusercontent.com/stautonico/pokemon-home-pokedex/main/sprites/salamence.png", 2)</f>
        <v>0</v>
      </c>
      <c r="C53" s="40">
        <f>IMAGE("https://raw.githubusercontent.com/stautonico/pokemon-home-pokedex/main/sprites/beldum.png", 2)</f>
        <v>0</v>
      </c>
      <c r="D53" s="40">
        <f>IMAGE("https://raw.githubusercontent.com/stautonico/pokemon-home-pokedex/main/sprites/metang.png", 2)</f>
        <v>0</v>
      </c>
      <c r="E53" s="40">
        <f>IMAGE("https://raw.githubusercontent.com/stautonico/pokemon-home-pokedex/main/sprites/metagross.png", 2)</f>
        <v>0</v>
      </c>
      <c r="F53" s="40">
        <f>IMAGE("https://raw.githubusercontent.com/stautonico/pokemon-home-pokedex/main/sprites/regirock.png", 2)</f>
        <v>0</v>
      </c>
      <c r="G53" s="40">
        <f>IMAGE("https://raw.githubusercontent.com/stautonico/pokemon-home-pokedex/main/sprites/regice.png", 2)</f>
        <v>0</v>
      </c>
      <c r="I53" s="40">
        <f>IMAGE("https://raw.githubusercontent.com/stautonico/pokemon-home-pokedex/main/sprites/shinx.png", 2)</f>
        <v>0</v>
      </c>
      <c r="J53" s="40">
        <f>IMAGE("https://raw.githubusercontent.com/stautonico/pokemon-home-pokedex/main/sprites/luxio.png", 2)</f>
        <v>0</v>
      </c>
      <c r="K53" s="40">
        <f>IMAGE("https://raw.githubusercontent.com/stautonico/pokemon-home-pokedex/main/sprites/luxray.png", 2)</f>
        <v>0</v>
      </c>
      <c r="L53" s="40">
        <f>IMAGE("https://raw.githubusercontent.com/stautonico/pokemon-home-pokedex/main/sprites/budew.png", 2)</f>
        <v>0</v>
      </c>
      <c r="M53" s="40">
        <f>IMAGE("https://raw.githubusercontent.com/stautonico/pokemon-home-pokedex/main/sprites/roserade.png", 2)</f>
        <v>0</v>
      </c>
      <c r="N53" s="40">
        <f>IMAGE("https://raw.githubusercontent.com/stautonico/pokemon-home-pokedex/main/sprites/cranidos.png", 2)</f>
        <v>0</v>
      </c>
    </row>
    <row r="54" spans="2:14" ht="72" customHeight="1">
      <c r="B54" s="40">
        <f>IMAGE("https://raw.githubusercontent.com/stautonico/pokemon-home-pokedex/main/sprites/registeel.png", 2)</f>
        <v>0</v>
      </c>
      <c r="C54" s="40">
        <f>IMAGE("https://raw.githubusercontent.com/stautonico/pokemon-home-pokedex/main/sprites/latias.png", 2)</f>
        <v>0</v>
      </c>
      <c r="D54" s="40">
        <f>IMAGE("https://raw.githubusercontent.com/stautonico/pokemon-home-pokedex/main/sprites/latios.png", 2)</f>
        <v>0</v>
      </c>
      <c r="E54" s="40">
        <f>IMAGE("https://raw.githubusercontent.com/stautonico/pokemon-home-pokedex/main/sprites/kyogre.png", 2)</f>
        <v>0</v>
      </c>
      <c r="F54" s="40">
        <f>IMAGE("https://raw.githubusercontent.com/stautonico/pokemon-home-pokedex/main/sprites/groudon.png", 2)</f>
        <v>0</v>
      </c>
      <c r="G54" s="40">
        <f>IMAGE("https://raw.githubusercontent.com/stautonico/pokemon-home-pokedex/main/sprites/rayquaza.png", 2)</f>
        <v>0</v>
      </c>
      <c r="I54" s="40">
        <f>IMAGE("https://raw.githubusercontent.com/stautonico/pokemon-home-pokedex/main/sprites/rampardos.png", 2)</f>
        <v>0</v>
      </c>
      <c r="J54" s="40">
        <f>IMAGE("https://raw.githubusercontent.com/stautonico/pokemon-home-pokedex/main/sprites/shieldon.png", 2)</f>
        <v>0</v>
      </c>
      <c r="K54" s="40">
        <f>IMAGE("https://raw.githubusercontent.com/stautonico/pokemon-home-pokedex/main/sprites/bastiodon.png", 2)</f>
        <v>0</v>
      </c>
      <c r="L54" s="40">
        <f>IMAGE("https://raw.githubusercontent.com/stautonico/pokemon-home-pokedex/main/sprites/burmy.png", 2)</f>
        <v>0</v>
      </c>
      <c r="M54" s="40">
        <f>IMAGE("https://raw.githubusercontent.com/stautonico/pokemon-home-pokedex/main/sprites/wormadam.png", 2)</f>
        <v>0</v>
      </c>
      <c r="N54" s="40">
        <f>IMAGE("https://raw.githubusercontent.com/stautonico/pokemon-home-pokedex/main/sprites/mothim.png", 2)</f>
        <v>0</v>
      </c>
    </row>
    <row r="55" spans="2:14" ht="72" customHeight="1">
      <c r="B55" s="40">
        <f>IMAGE("https://raw.githubusercontent.com/stautonico/pokemon-home-pokedex/main/sprites/jirachi.png", 2)</f>
        <v>0</v>
      </c>
      <c r="C55" s="40">
        <f>IMAGE("https://raw.githubusercontent.com/stautonico/pokemon-home-pokedex/main/sprites/deoxys.png", 2)</f>
        <v>0</v>
      </c>
      <c r="D55" s="40">
        <f>IMAGE("https://raw.githubusercontent.com/stautonico/pokemon-home-pokedex/main/sprites/turtwig.png", 2)</f>
        <v>0</v>
      </c>
      <c r="E55" s="40">
        <f>IMAGE("https://raw.githubusercontent.com/stautonico/pokemon-home-pokedex/main/sprites/grotle.png", 2)</f>
        <v>0</v>
      </c>
      <c r="F55" s="40">
        <f>IMAGE("https://raw.githubusercontent.com/stautonico/pokemon-home-pokedex/main/sprites/torterra.png", 2)</f>
        <v>0</v>
      </c>
      <c r="G55" s="40">
        <f>IMAGE("https://raw.githubusercontent.com/stautonico/pokemon-home-pokedex/main/sprites/chimchar.png", 2)</f>
        <v>0</v>
      </c>
      <c r="I55" s="40">
        <f>IMAGE("https://raw.githubusercontent.com/stautonico/pokemon-home-pokedex/main/sprites/combee.png", 2)</f>
        <v>0</v>
      </c>
      <c r="J55" s="40">
        <f>IMAGE("https://raw.githubusercontent.com/stautonico/pokemon-home-pokedex/main/sprites/vespiquen.png", 2)</f>
        <v>0</v>
      </c>
      <c r="K55" s="40">
        <f>IMAGE("https://raw.githubusercontent.com/stautonico/pokemon-home-pokedex/main/sprites/pachirisu.png", 2)</f>
        <v>0</v>
      </c>
      <c r="L55" s="40">
        <f>IMAGE("https://raw.githubusercontent.com/stautonico/pokemon-home-pokedex/main/sprites/buizel.png", 2)</f>
        <v>0</v>
      </c>
      <c r="M55" s="40">
        <f>IMAGE("https://raw.githubusercontent.com/stautonico/pokemon-home-pokedex/main/sprites/floatzel.png", 2)</f>
        <v>0</v>
      </c>
      <c r="N55" s="40">
        <f>IMAGE("https://raw.githubusercontent.com/stautonico/pokemon-home-pokedex/main/sprites/cherubi.png", 2)</f>
        <v>0</v>
      </c>
    </row>
    <row r="58" spans="2:14">
      <c r="B58" s="39" t="s">
        <v>1334</v>
      </c>
      <c r="I58" s="39" t="s">
        <v>1335</v>
      </c>
    </row>
    <row r="59" spans="2:14" ht="72" customHeight="1">
      <c r="B59" s="40">
        <f>IMAGE("https://raw.githubusercontent.com/stautonico/pokemon-home-pokedex/main/sprites/cherrim.png", 2)</f>
        <v>0</v>
      </c>
      <c r="C59" s="40">
        <f>IMAGE("https://raw.githubusercontent.com/stautonico/pokemon-home-pokedex/main/sprites/shellos.png", 2)</f>
        <v>0</v>
      </c>
      <c r="D59" s="40">
        <f>IMAGE("https://raw.githubusercontent.com/stautonico/pokemon-home-pokedex/main/sprites/gastrodon.png", 2)</f>
        <v>0</v>
      </c>
      <c r="E59" s="40">
        <f>IMAGE("https://raw.githubusercontent.com/stautonico/pokemon-home-pokedex/main/sprites/ambipom.png", 2)</f>
        <v>0</v>
      </c>
      <c r="F59" s="40">
        <f>IMAGE("https://raw.githubusercontent.com/stautonico/pokemon-home-pokedex/main/sprites/drifloon.png", 2)</f>
        <v>0</v>
      </c>
      <c r="G59" s="40">
        <f>IMAGE("https://raw.githubusercontent.com/stautonico/pokemon-home-pokedex/main/sprites/drifblim.png", 2)</f>
        <v>0</v>
      </c>
      <c r="I59" s="40">
        <f>IMAGE("https://raw.githubusercontent.com/stautonico/pokemon-home-pokedex/main/sprites/skorupi.png", 2)</f>
        <v>0</v>
      </c>
      <c r="J59" s="40">
        <f>IMAGE("https://raw.githubusercontent.com/stautonico/pokemon-home-pokedex/main/sprites/drapion.png", 2)</f>
        <v>0</v>
      </c>
      <c r="K59" s="40">
        <f>IMAGE("https://raw.githubusercontent.com/stautonico/pokemon-home-pokedex/main/sprites/croagunk.png", 2)</f>
        <v>0</v>
      </c>
      <c r="L59" s="40">
        <f>IMAGE("https://raw.githubusercontent.com/stautonico/pokemon-home-pokedex/main/sprites/toxicroak.png", 2)</f>
        <v>0</v>
      </c>
      <c r="M59" s="40">
        <f>IMAGE("https://raw.githubusercontent.com/stautonico/pokemon-home-pokedex/main/sprites/carnivine.png", 2)</f>
        <v>0</v>
      </c>
      <c r="N59" s="40">
        <f>IMAGE("https://raw.githubusercontent.com/stautonico/pokemon-home-pokedex/main/sprites/finneon.png", 2)</f>
        <v>0</v>
      </c>
    </row>
    <row r="60" spans="2:14" ht="72" customHeight="1">
      <c r="B60" s="40">
        <f>IMAGE("https://raw.githubusercontent.com/stautonico/pokemon-home-pokedex/main/sprites/buneary.png", 2)</f>
        <v>0</v>
      </c>
      <c r="C60" s="40">
        <f>IMAGE("https://raw.githubusercontent.com/stautonico/pokemon-home-pokedex/main/sprites/lopunny.png", 2)</f>
        <v>0</v>
      </c>
      <c r="D60" s="40">
        <f>IMAGE("https://raw.githubusercontent.com/stautonico/pokemon-home-pokedex/main/sprites/mismagius.png", 2)</f>
        <v>0</v>
      </c>
      <c r="E60" s="40">
        <f>IMAGE("https://raw.githubusercontent.com/stautonico/pokemon-home-pokedex/main/sprites/honchkrow.png", 2)</f>
        <v>0</v>
      </c>
      <c r="F60" s="40">
        <f>IMAGE("https://raw.githubusercontent.com/stautonico/pokemon-home-pokedex/main/sprites/glameow.png", 2)</f>
        <v>0</v>
      </c>
      <c r="G60" s="40">
        <f>IMAGE("https://raw.githubusercontent.com/stautonico/pokemon-home-pokedex/main/sprites/purugly.png", 2)</f>
        <v>0</v>
      </c>
      <c r="I60" s="40">
        <f>IMAGE("https://raw.githubusercontent.com/stautonico/pokemon-home-pokedex/main/sprites/lumineon.png", 2)</f>
        <v>0</v>
      </c>
      <c r="J60" s="40">
        <f>IMAGE("https://raw.githubusercontent.com/stautonico/pokemon-home-pokedex/main/sprites/mantyke.png", 2)</f>
        <v>0</v>
      </c>
      <c r="K60" s="40">
        <f>IMAGE("https://raw.githubusercontent.com/stautonico/pokemon-home-pokedex/main/sprites/snover.png", 2)</f>
        <v>0</v>
      </c>
      <c r="L60" s="40">
        <f>IMAGE("https://raw.githubusercontent.com/stautonico/pokemon-home-pokedex/main/sprites/abomasnow.png", 2)</f>
        <v>0</v>
      </c>
      <c r="M60" s="40">
        <f>IMAGE("https://raw.githubusercontent.com/stautonico/pokemon-home-pokedex/main/sprites/weavile.png", 2)</f>
        <v>0</v>
      </c>
      <c r="N60" s="40">
        <f>IMAGE("https://raw.githubusercontent.com/stautonico/pokemon-home-pokedex/main/sprites/magnezone.png", 2)</f>
        <v>0</v>
      </c>
    </row>
    <row r="61" spans="2:14" ht="72" customHeight="1">
      <c r="B61" s="40">
        <f>IMAGE("https://raw.githubusercontent.com/stautonico/pokemon-home-pokedex/main/sprites/chingling.png", 2)</f>
        <v>0</v>
      </c>
      <c r="C61" s="40">
        <f>IMAGE("https://raw.githubusercontent.com/stautonico/pokemon-home-pokedex/main/sprites/stunky.png", 2)</f>
        <v>0</v>
      </c>
      <c r="D61" s="40">
        <f>IMAGE("https://raw.githubusercontent.com/stautonico/pokemon-home-pokedex/main/sprites/skuntank.png", 2)</f>
        <v>0</v>
      </c>
      <c r="E61" s="40">
        <f>IMAGE("https://raw.githubusercontent.com/stautonico/pokemon-home-pokedex/main/sprites/bronzor.png", 2)</f>
        <v>0</v>
      </c>
      <c r="F61" s="40">
        <f>IMAGE("https://raw.githubusercontent.com/stautonico/pokemon-home-pokedex/main/sprites/bronzong.png", 2)</f>
        <v>0</v>
      </c>
      <c r="G61" s="40">
        <f>IMAGE("https://raw.githubusercontent.com/stautonico/pokemon-home-pokedex/main/sprites/bonsly.png", 2)</f>
        <v>0</v>
      </c>
      <c r="I61" s="40">
        <f>IMAGE("https://raw.githubusercontent.com/stautonico/pokemon-home-pokedex/main/sprites/lickilicky.png", 2)</f>
        <v>0</v>
      </c>
      <c r="J61" s="40">
        <f>IMAGE("https://raw.githubusercontent.com/stautonico/pokemon-home-pokedex/main/sprites/rhyperior.png", 2)</f>
        <v>0</v>
      </c>
      <c r="K61" s="40">
        <f>IMAGE("https://raw.githubusercontent.com/stautonico/pokemon-home-pokedex/main/sprites/tangrowth.png", 2)</f>
        <v>0</v>
      </c>
      <c r="L61" s="40">
        <f>IMAGE("https://raw.githubusercontent.com/stautonico/pokemon-home-pokedex/main/sprites/electivire.png", 2)</f>
        <v>0</v>
      </c>
      <c r="M61" s="40">
        <f>IMAGE("https://raw.githubusercontent.com/stautonico/pokemon-home-pokedex/main/sprites/magmortar.png", 2)</f>
        <v>0</v>
      </c>
      <c r="N61" s="40">
        <f>IMAGE("https://raw.githubusercontent.com/stautonico/pokemon-home-pokedex/main/sprites/togekiss.png", 2)</f>
        <v>0</v>
      </c>
    </row>
    <row r="62" spans="2:14" ht="72" customHeight="1">
      <c r="B62" s="40">
        <f>IMAGE("https://raw.githubusercontent.com/stautonico/pokemon-home-pokedex/main/sprites/mimejr.png", 2)</f>
        <v>0</v>
      </c>
      <c r="C62" s="40">
        <f>IMAGE("https://raw.githubusercontent.com/stautonico/pokemon-home-pokedex/main/sprites/happiny.png", 2)</f>
        <v>0</v>
      </c>
      <c r="D62" s="40">
        <f>IMAGE("https://raw.githubusercontent.com/stautonico/pokemon-home-pokedex/main/sprites/chatot.png", 2)</f>
        <v>0</v>
      </c>
      <c r="E62" s="40">
        <f>IMAGE("https://raw.githubusercontent.com/stautonico/pokemon-home-pokedex/main/sprites/spiritomb.png", 2)</f>
        <v>0</v>
      </c>
      <c r="F62" s="40">
        <f>IMAGE("https://raw.githubusercontent.com/stautonico/pokemon-home-pokedex/main/sprites/gible.png", 2)</f>
        <v>0</v>
      </c>
      <c r="G62" s="40">
        <f>IMAGE("https://raw.githubusercontent.com/stautonico/pokemon-home-pokedex/main/sprites/gabite.png", 2)</f>
        <v>0</v>
      </c>
      <c r="I62" s="40">
        <f>IMAGE("https://raw.githubusercontent.com/stautonico/pokemon-home-pokedex/main/sprites/yanmega.png", 2)</f>
        <v>0</v>
      </c>
      <c r="J62" s="40">
        <f>IMAGE("https://raw.githubusercontent.com/stautonico/pokemon-home-pokedex/main/sprites/leafeon.png", 2)</f>
        <v>0</v>
      </c>
      <c r="K62" s="40">
        <f>IMAGE("https://raw.githubusercontent.com/stautonico/pokemon-home-pokedex/main/sprites/glaceon.png", 2)</f>
        <v>0</v>
      </c>
      <c r="L62" s="40">
        <f>IMAGE("https://raw.githubusercontent.com/stautonico/pokemon-home-pokedex/main/sprites/gliscor.png", 2)</f>
        <v>0</v>
      </c>
      <c r="M62" s="40">
        <f>IMAGE("https://raw.githubusercontent.com/stautonico/pokemon-home-pokedex/main/sprites/mamoswine.png", 2)</f>
        <v>0</v>
      </c>
      <c r="N62" s="40">
        <f>IMAGE("https://raw.githubusercontent.com/stautonico/pokemon-home-pokedex/main/sprites/porygonz.png", 2)</f>
        <v>0</v>
      </c>
    </row>
    <row r="63" spans="2:14" ht="72" customHeight="1">
      <c r="B63" s="40">
        <f>IMAGE("https://raw.githubusercontent.com/stautonico/pokemon-home-pokedex/main/sprites/garchomp.png", 2)</f>
        <v>0</v>
      </c>
      <c r="C63" s="40">
        <f>IMAGE("https://raw.githubusercontent.com/stautonico/pokemon-home-pokedex/main/sprites/munchlax.png", 2)</f>
        <v>0</v>
      </c>
      <c r="D63" s="40">
        <f>IMAGE("https://raw.githubusercontent.com/stautonico/pokemon-home-pokedex/main/sprites/riolu.png", 2)</f>
        <v>0</v>
      </c>
      <c r="E63" s="40">
        <f>IMAGE("https://raw.githubusercontent.com/stautonico/pokemon-home-pokedex/main/sprites/lucario.png", 2)</f>
        <v>0</v>
      </c>
      <c r="F63" s="40">
        <f>IMAGE("https://raw.githubusercontent.com/stautonico/pokemon-home-pokedex/main/sprites/hippopotas.png", 2)</f>
        <v>0</v>
      </c>
      <c r="G63" s="40">
        <f>IMAGE("https://raw.githubusercontent.com/stautonico/pokemon-home-pokedex/main/sprites/hippowdon.png", 2)</f>
        <v>0</v>
      </c>
      <c r="I63" s="40">
        <f>IMAGE("https://raw.githubusercontent.com/stautonico/pokemon-home-pokedex/main/sprites/gallade.png", 2)</f>
        <v>0</v>
      </c>
      <c r="J63" s="40">
        <f>IMAGE("https://raw.githubusercontent.com/stautonico/pokemon-home-pokedex/main/sprites/probopass.png", 2)</f>
        <v>0</v>
      </c>
      <c r="K63" s="40">
        <f>IMAGE("https://raw.githubusercontent.com/stautonico/pokemon-home-pokedex/main/sprites/dusknoir.png", 2)</f>
        <v>0</v>
      </c>
      <c r="L63" s="40">
        <f>IMAGE("https://raw.githubusercontent.com/stautonico/pokemon-home-pokedex/main/sprites/froslass.png", 2)</f>
        <v>0</v>
      </c>
      <c r="M63" s="40">
        <f>IMAGE("https://raw.githubusercontent.com/stautonico/pokemon-home-pokedex/main/sprites/rotom.png", 2)</f>
        <v>0</v>
      </c>
      <c r="N63" s="40">
        <f>IMAGE("https://raw.githubusercontent.com/stautonico/pokemon-home-pokedex/main/sprites/uxie.png", 2)</f>
        <v>0</v>
      </c>
    </row>
    <row r="66" spans="2:14">
      <c r="B66" s="39" t="s">
        <v>1336</v>
      </c>
      <c r="I66" s="39" t="s">
        <v>1337</v>
      </c>
    </row>
    <row r="67" spans="2:14" ht="72" customHeight="1">
      <c r="B67" s="40">
        <f>IMAGE("https://raw.githubusercontent.com/stautonico/pokemon-home-pokedex/main/sprites/mesprit.png", 2)</f>
        <v>0</v>
      </c>
      <c r="C67" s="40">
        <f>IMAGE("https://raw.githubusercontent.com/stautonico/pokemon-home-pokedex/main/sprites/azelf.png", 2)</f>
        <v>0</v>
      </c>
      <c r="D67" s="40">
        <f>IMAGE("https://raw.githubusercontent.com/stautonico/pokemon-home-pokedex/main/sprites/dialga.png", 2)</f>
        <v>0</v>
      </c>
      <c r="E67" s="40">
        <f>IMAGE("https://raw.githubusercontent.com/stautonico/pokemon-home-pokedex/main/sprites/palkia.png", 2)</f>
        <v>0</v>
      </c>
      <c r="F67" s="40">
        <f>IMAGE("https://raw.githubusercontent.com/stautonico/pokemon-home-pokedex/main/sprites/heatran.png", 2)</f>
        <v>0</v>
      </c>
      <c r="G67" s="40">
        <f>IMAGE("https://raw.githubusercontent.com/stautonico/pokemon-home-pokedex/main/sprites/regigigas.png", 2)</f>
        <v>0</v>
      </c>
      <c r="I67" s="40">
        <f>IMAGE("https://raw.githubusercontent.com/stautonico/pokemon-home-pokedex/main/sprites/pansage.png", 2)</f>
        <v>0</v>
      </c>
      <c r="J67" s="40">
        <f>IMAGE("https://raw.githubusercontent.com/stautonico/pokemon-home-pokedex/main/sprites/simisage.png", 2)</f>
        <v>0</v>
      </c>
      <c r="K67" s="40">
        <f>IMAGE("https://raw.githubusercontent.com/stautonico/pokemon-home-pokedex/main/sprites/pansear.png", 2)</f>
        <v>0</v>
      </c>
      <c r="L67" s="40">
        <f>IMAGE("https://raw.githubusercontent.com/stautonico/pokemon-home-pokedex/main/sprites/simisear.png", 2)</f>
        <v>0</v>
      </c>
      <c r="M67" s="40">
        <f>IMAGE("https://raw.githubusercontent.com/stautonico/pokemon-home-pokedex/main/sprites/panpour.png", 2)</f>
        <v>0</v>
      </c>
      <c r="N67" s="40">
        <f>IMAGE("https://raw.githubusercontent.com/stautonico/pokemon-home-pokedex/main/sprites/simipour.png", 2)</f>
        <v>0</v>
      </c>
    </row>
    <row r="68" spans="2:14" ht="72" customHeight="1">
      <c r="B68" s="40">
        <f>IMAGE("https://raw.githubusercontent.com/stautonico/pokemon-home-pokedex/main/sprites/giratina.png", 2)</f>
        <v>0</v>
      </c>
      <c r="C68" s="40">
        <f>IMAGE("https://raw.githubusercontent.com/stautonico/pokemon-home-pokedex/main/sprites/cresselia.png", 2)</f>
        <v>0</v>
      </c>
      <c r="D68" s="40">
        <f>IMAGE("https://raw.githubusercontent.com/stautonico/pokemon-home-pokedex/main/sprites/phione.png", 2)</f>
        <v>0</v>
      </c>
      <c r="E68" s="40">
        <f>IMAGE("https://raw.githubusercontent.com/stautonico/pokemon-home-pokedex/main/sprites/manaphy.png", 2)</f>
        <v>0</v>
      </c>
      <c r="F68" s="40">
        <f>IMAGE("https://raw.githubusercontent.com/stautonico/pokemon-home-pokedex/main/sprites/darkrai.png", 2)</f>
        <v>0</v>
      </c>
      <c r="G68" s="40">
        <f>IMAGE("https://raw.githubusercontent.com/stautonico/pokemon-home-pokedex/main/sprites/shaymin.png", 2)</f>
        <v>0</v>
      </c>
      <c r="I68" s="40">
        <f>IMAGE("https://raw.githubusercontent.com/stautonico/pokemon-home-pokedex/main/sprites/munna.png", 2)</f>
        <v>0</v>
      </c>
      <c r="J68" s="40">
        <f>IMAGE("https://raw.githubusercontent.com/stautonico/pokemon-home-pokedex/main/sprites/musharna.png", 2)</f>
        <v>0</v>
      </c>
      <c r="K68" s="40">
        <f>IMAGE("https://raw.githubusercontent.com/stautonico/pokemon-home-pokedex/main/sprites/pidove.png", 2)</f>
        <v>0</v>
      </c>
      <c r="L68" s="40">
        <f>IMAGE("https://raw.githubusercontent.com/stautonico/pokemon-home-pokedex/main/sprites/tranquill.png", 2)</f>
        <v>0</v>
      </c>
      <c r="M68" s="40">
        <f>IMAGE("https://raw.githubusercontent.com/stautonico/pokemon-home-pokedex/main/sprites/unfezant.png", 2)</f>
        <v>0</v>
      </c>
      <c r="N68" s="40">
        <f>IMAGE("https://raw.githubusercontent.com/stautonico/pokemon-home-pokedex/main/sprites/blitzle.png", 2)</f>
        <v>0</v>
      </c>
    </row>
    <row r="69" spans="2:14" ht="72" customHeight="1">
      <c r="B69" s="40">
        <f>IMAGE("https://raw.githubusercontent.com/stautonico/pokemon-home-pokedex/main/sprites/arceus.png", 2)</f>
        <v>0</v>
      </c>
      <c r="C69" s="40">
        <f>IMAGE("https://raw.githubusercontent.com/stautonico/pokemon-home-pokedex/main/sprites/victini.png", 2)</f>
        <v>0</v>
      </c>
      <c r="D69" s="40">
        <f>IMAGE("https://raw.githubusercontent.com/stautonico/pokemon-home-pokedex/main/sprites/snivy.png", 2)</f>
        <v>0</v>
      </c>
      <c r="E69" s="40">
        <f>IMAGE("https://raw.githubusercontent.com/stautonico/pokemon-home-pokedex/main/sprites/servine.png", 2)</f>
        <v>0</v>
      </c>
      <c r="F69" s="40">
        <f>IMAGE("https://raw.githubusercontent.com/stautonico/pokemon-home-pokedex/main/sprites/serperior.png", 2)</f>
        <v>0</v>
      </c>
      <c r="G69" s="40">
        <f>IMAGE("https://raw.githubusercontent.com/stautonico/pokemon-home-pokedex/main/sprites/tepig.png", 2)</f>
        <v>0</v>
      </c>
      <c r="I69" s="40">
        <f>IMAGE("https://raw.githubusercontent.com/stautonico/pokemon-home-pokedex/main/sprites/zebstrika.png", 2)</f>
        <v>0</v>
      </c>
      <c r="J69" s="40">
        <f>IMAGE("https://raw.githubusercontent.com/stautonico/pokemon-home-pokedex/main/sprites/roggenrola.png", 2)</f>
        <v>0</v>
      </c>
      <c r="K69" s="40">
        <f>IMAGE("https://raw.githubusercontent.com/stautonico/pokemon-home-pokedex/main/sprites/boldore.png", 2)</f>
        <v>0</v>
      </c>
      <c r="L69" s="40">
        <f>IMAGE("https://raw.githubusercontent.com/stautonico/pokemon-home-pokedex/main/sprites/gigalith.png", 2)</f>
        <v>0</v>
      </c>
      <c r="M69" s="40">
        <f>IMAGE("https://raw.githubusercontent.com/stautonico/pokemon-home-pokedex/main/sprites/woobat.png", 2)</f>
        <v>0</v>
      </c>
      <c r="N69" s="40">
        <f>IMAGE("https://raw.githubusercontent.com/stautonico/pokemon-home-pokedex/main/sprites/swoobat.png", 2)</f>
        <v>0</v>
      </c>
    </row>
    <row r="70" spans="2:14" ht="72" customHeight="1">
      <c r="B70" s="40">
        <f>IMAGE("https://raw.githubusercontent.com/stautonico/pokemon-home-pokedex/main/sprites/pignite.png", 2)</f>
        <v>0</v>
      </c>
      <c r="C70" s="40">
        <f>IMAGE("https://raw.githubusercontent.com/stautonico/pokemon-home-pokedex/main/sprites/emboar.png", 2)</f>
        <v>0</v>
      </c>
      <c r="D70" s="40">
        <f>IMAGE("https://raw.githubusercontent.com/stautonico/pokemon-home-pokedex/main/sprites/oshawott.png", 2)</f>
        <v>0</v>
      </c>
      <c r="E70" s="40">
        <f>IMAGE("https://raw.githubusercontent.com/stautonico/pokemon-home-pokedex/main/sprites/dewott.png", 2)</f>
        <v>0</v>
      </c>
      <c r="F70" s="40">
        <f>IMAGE("https://raw.githubusercontent.com/stautonico/pokemon-home-pokedex/main/sprites/samurott.png", 2)</f>
        <v>0</v>
      </c>
      <c r="G70" s="40">
        <f>IMAGE("https://raw.githubusercontent.com/stautonico/pokemon-home-pokedex/main/sprites/patrat.png", 2)</f>
        <v>0</v>
      </c>
      <c r="I70" s="40">
        <f>IMAGE("https://raw.githubusercontent.com/stautonico/pokemon-home-pokedex/main/sprites/drilbur.png", 2)</f>
        <v>0</v>
      </c>
      <c r="J70" s="40">
        <f>IMAGE("https://raw.githubusercontent.com/stautonico/pokemon-home-pokedex/main/sprites/excadrill.png", 2)</f>
        <v>0</v>
      </c>
      <c r="K70" s="40">
        <f>IMAGE("https://raw.githubusercontent.com/stautonico/pokemon-home-pokedex/main/sprites/audino.png", 2)</f>
        <v>0</v>
      </c>
      <c r="L70" s="40">
        <f>IMAGE("https://raw.githubusercontent.com/stautonico/pokemon-home-pokedex/main/sprites/timburr.png", 2)</f>
        <v>0</v>
      </c>
      <c r="M70" s="40">
        <f>IMAGE("https://raw.githubusercontent.com/stautonico/pokemon-home-pokedex/main/sprites/gurdurr.png", 2)</f>
        <v>0</v>
      </c>
      <c r="N70" s="40">
        <f>IMAGE("https://raw.githubusercontent.com/stautonico/pokemon-home-pokedex/main/sprites/conkeldurr.png", 2)</f>
        <v>0</v>
      </c>
    </row>
    <row r="71" spans="2:14" ht="72" customHeight="1">
      <c r="B71" s="40">
        <f>IMAGE("https://raw.githubusercontent.com/stautonico/pokemon-home-pokedex/main/sprites/watchog.png", 2)</f>
        <v>0</v>
      </c>
      <c r="C71" s="40">
        <f>IMAGE("https://raw.githubusercontent.com/stautonico/pokemon-home-pokedex/main/sprites/lillipup.png", 2)</f>
        <v>0</v>
      </c>
      <c r="D71" s="40">
        <f>IMAGE("https://raw.githubusercontent.com/stautonico/pokemon-home-pokedex/main/sprites/herdier.png", 2)</f>
        <v>0</v>
      </c>
      <c r="E71" s="40">
        <f>IMAGE("https://raw.githubusercontent.com/stautonico/pokemon-home-pokedex/main/sprites/stoutland.png", 2)</f>
        <v>0</v>
      </c>
      <c r="F71" s="40">
        <f>IMAGE("https://raw.githubusercontent.com/stautonico/pokemon-home-pokedex/main/sprites/purrloin.png", 2)</f>
        <v>0</v>
      </c>
      <c r="G71" s="40">
        <f>IMAGE("https://raw.githubusercontent.com/stautonico/pokemon-home-pokedex/main/sprites/liepard.png", 2)</f>
        <v>0</v>
      </c>
      <c r="I71" s="40">
        <f>IMAGE("https://raw.githubusercontent.com/stautonico/pokemon-home-pokedex/main/sprites/tympole.png", 2)</f>
        <v>0</v>
      </c>
      <c r="J71" s="40">
        <f>IMAGE("https://raw.githubusercontent.com/stautonico/pokemon-home-pokedex/main/sprites/palpitoad.png", 2)</f>
        <v>0</v>
      </c>
      <c r="K71" s="40">
        <f>IMAGE("https://raw.githubusercontent.com/stautonico/pokemon-home-pokedex/main/sprites/seismitoad.png", 2)</f>
        <v>0</v>
      </c>
      <c r="L71" s="40">
        <f>IMAGE("https://raw.githubusercontent.com/stautonico/pokemon-home-pokedex/main/sprites/throh.png", 2)</f>
        <v>0</v>
      </c>
      <c r="M71" s="40">
        <f>IMAGE("https://raw.githubusercontent.com/stautonico/pokemon-home-pokedex/main/sprites/sawk.png", 2)</f>
        <v>0</v>
      </c>
      <c r="N71" s="40">
        <f>IMAGE("https://raw.githubusercontent.com/stautonico/pokemon-home-pokedex/main/sprites/sewaddle.png", 2)</f>
        <v>0</v>
      </c>
    </row>
    <row r="74" spans="2:14">
      <c r="B74" s="39" t="s">
        <v>1338</v>
      </c>
      <c r="I74" s="39" t="s">
        <v>1339</v>
      </c>
    </row>
    <row r="75" spans="2:14" ht="72" customHeight="1">
      <c r="B75" s="40">
        <f>IMAGE("https://raw.githubusercontent.com/stautonico/pokemon-home-pokedex/main/sprites/swadloon.png", 2)</f>
        <v>0</v>
      </c>
      <c r="C75" s="40">
        <f>IMAGE("https://raw.githubusercontent.com/stautonico/pokemon-home-pokedex/main/sprites/leavanny.png", 2)</f>
        <v>0</v>
      </c>
      <c r="D75" s="40">
        <f>IMAGE("https://raw.githubusercontent.com/stautonico/pokemon-home-pokedex/main/sprites/venipede.png", 2)</f>
        <v>0</v>
      </c>
      <c r="E75" s="40">
        <f>IMAGE("https://raw.githubusercontent.com/stautonico/pokemon-home-pokedex/main/sprites/whirlipede.png", 2)</f>
        <v>0</v>
      </c>
      <c r="F75" s="40">
        <f>IMAGE("https://raw.githubusercontent.com/stautonico/pokemon-home-pokedex/main/sprites/scolipede.png", 2)</f>
        <v>0</v>
      </c>
      <c r="G75" s="40">
        <f>IMAGE("https://raw.githubusercontent.com/stautonico/pokemon-home-pokedex/main/sprites/cottonee.png", 2)</f>
        <v>0</v>
      </c>
      <c r="I75" s="40">
        <f>IMAGE("https://raw.githubusercontent.com/stautonico/pokemon-home-pokedex/main/sprites/zoroark.png", 2)</f>
        <v>0</v>
      </c>
      <c r="J75" s="40">
        <f>IMAGE("https://raw.githubusercontent.com/stautonico/pokemon-home-pokedex/main/sprites/minccino.png", 2)</f>
        <v>0</v>
      </c>
      <c r="K75" s="40">
        <f>IMAGE("https://raw.githubusercontent.com/stautonico/pokemon-home-pokedex/main/sprites/cinccino.png", 2)</f>
        <v>0</v>
      </c>
      <c r="L75" s="40">
        <f>IMAGE("https://raw.githubusercontent.com/stautonico/pokemon-home-pokedex/main/sprites/gothita.png", 2)</f>
        <v>0</v>
      </c>
      <c r="M75" s="40">
        <f>IMAGE("https://raw.githubusercontent.com/stautonico/pokemon-home-pokedex/main/sprites/gothorita.png", 2)</f>
        <v>0</v>
      </c>
      <c r="N75" s="40">
        <f>IMAGE("https://raw.githubusercontent.com/stautonico/pokemon-home-pokedex/main/sprites/gothitelle.png", 2)</f>
        <v>0</v>
      </c>
    </row>
    <row r="76" spans="2:14" ht="72" customHeight="1">
      <c r="B76" s="40">
        <f>IMAGE("https://raw.githubusercontent.com/stautonico/pokemon-home-pokedex/main/sprites/whimsicott.png", 2)</f>
        <v>0</v>
      </c>
      <c r="C76" s="40">
        <f>IMAGE("https://raw.githubusercontent.com/stautonico/pokemon-home-pokedex/main/sprites/petilil.png", 2)</f>
        <v>0</v>
      </c>
      <c r="D76" s="40">
        <f>IMAGE("https://raw.githubusercontent.com/stautonico/pokemon-home-pokedex/main/sprites/lilligant.png", 2)</f>
        <v>0</v>
      </c>
      <c r="E76" s="40">
        <f>IMAGE("https://raw.githubusercontent.com/stautonico/pokemon-home-pokedex/main/sprites/basculin.png", 2)</f>
        <v>0</v>
      </c>
      <c r="F76" s="40">
        <f>IMAGE("https://raw.githubusercontent.com/stautonico/pokemon-home-pokedex/main/sprites/sandile.png", 2)</f>
        <v>0</v>
      </c>
      <c r="G76" s="40">
        <f>IMAGE("https://raw.githubusercontent.com/stautonico/pokemon-home-pokedex/main/sprites/krokorok.png", 2)</f>
        <v>0</v>
      </c>
      <c r="I76" s="40">
        <f>IMAGE("https://raw.githubusercontent.com/stautonico/pokemon-home-pokedex/main/sprites/solosis.png", 2)</f>
        <v>0</v>
      </c>
      <c r="J76" s="40">
        <f>IMAGE("https://raw.githubusercontent.com/stautonico/pokemon-home-pokedex/main/sprites/duosion.png", 2)</f>
        <v>0</v>
      </c>
      <c r="K76" s="40">
        <f>IMAGE("https://raw.githubusercontent.com/stautonico/pokemon-home-pokedex/main/sprites/reuniclus.png", 2)</f>
        <v>0</v>
      </c>
      <c r="L76" s="40">
        <f>IMAGE("https://raw.githubusercontent.com/stautonico/pokemon-home-pokedex/main/sprites/ducklett.png", 2)</f>
        <v>0</v>
      </c>
      <c r="M76" s="40">
        <f>IMAGE("https://raw.githubusercontent.com/stautonico/pokemon-home-pokedex/main/sprites/swanna.png", 2)</f>
        <v>0</v>
      </c>
      <c r="N76" s="40">
        <f>IMAGE("https://raw.githubusercontent.com/stautonico/pokemon-home-pokedex/main/sprites/vanillite.png", 2)</f>
        <v>0</v>
      </c>
    </row>
    <row r="77" spans="2:14" ht="72" customHeight="1">
      <c r="B77" s="40">
        <f>IMAGE("https://raw.githubusercontent.com/stautonico/pokemon-home-pokedex/main/sprites/krookodile.png", 2)</f>
        <v>0</v>
      </c>
      <c r="C77" s="40">
        <f>IMAGE("https://raw.githubusercontent.com/stautonico/pokemon-home-pokedex/main/sprites/darumaka.png", 2)</f>
        <v>0</v>
      </c>
      <c r="D77" s="40">
        <f>IMAGE("https://raw.githubusercontent.com/stautonico/pokemon-home-pokedex/main/sprites/darmanitan.png", 2)</f>
        <v>0</v>
      </c>
      <c r="E77" s="40">
        <f>IMAGE("https://raw.githubusercontent.com/stautonico/pokemon-home-pokedex/main/sprites/maractus.png", 2)</f>
        <v>0</v>
      </c>
      <c r="F77" s="40">
        <f>IMAGE("https://raw.githubusercontent.com/stautonico/pokemon-home-pokedex/main/sprites/dwebble.png", 2)</f>
        <v>0</v>
      </c>
      <c r="G77" s="40">
        <f>IMAGE("https://raw.githubusercontent.com/stautonico/pokemon-home-pokedex/main/sprites/crustle.png", 2)</f>
        <v>0</v>
      </c>
      <c r="I77" s="40">
        <f>IMAGE("https://raw.githubusercontent.com/stautonico/pokemon-home-pokedex/main/sprites/vanillish.png", 2)</f>
        <v>0</v>
      </c>
      <c r="J77" s="40">
        <f>IMAGE("https://raw.githubusercontent.com/stautonico/pokemon-home-pokedex/main/sprites/vanilluxe.png", 2)</f>
        <v>0</v>
      </c>
      <c r="K77" s="40">
        <f>IMAGE("https://raw.githubusercontent.com/stautonico/pokemon-home-pokedex/main/sprites/deerling.png", 2)</f>
        <v>0</v>
      </c>
      <c r="L77" s="40">
        <f>IMAGE("https://raw.githubusercontent.com/stautonico/pokemon-home-pokedex/main/sprites/sawsbuck.png", 2)</f>
        <v>0</v>
      </c>
      <c r="M77" s="40">
        <f>IMAGE("https://raw.githubusercontent.com/stautonico/pokemon-home-pokedex/main/sprites/emolga.png", 2)</f>
        <v>0</v>
      </c>
      <c r="N77" s="40">
        <f>IMAGE("https://raw.githubusercontent.com/stautonico/pokemon-home-pokedex/main/sprites/karrablast.png", 2)</f>
        <v>0</v>
      </c>
    </row>
    <row r="78" spans="2:14" ht="72" customHeight="1">
      <c r="B78" s="40">
        <f>IMAGE("https://raw.githubusercontent.com/stautonico/pokemon-home-pokedex/main/sprites/scraggy.png", 2)</f>
        <v>0</v>
      </c>
      <c r="C78" s="40">
        <f>IMAGE("https://raw.githubusercontent.com/stautonico/pokemon-home-pokedex/main/sprites/scrafty.png", 2)</f>
        <v>0</v>
      </c>
      <c r="D78" s="40">
        <f>IMAGE("https://raw.githubusercontent.com/stautonico/pokemon-home-pokedex/main/sprites/sigilyph.png", 2)</f>
        <v>0</v>
      </c>
      <c r="E78" s="40">
        <f>IMAGE("https://raw.githubusercontent.com/stautonico/pokemon-home-pokedex/main/sprites/yamask.png", 2)</f>
        <v>0</v>
      </c>
      <c r="F78" s="40">
        <f>IMAGE("https://raw.githubusercontent.com/stautonico/pokemon-home-pokedex/main/sprites/cofagrigus.png", 2)</f>
        <v>0</v>
      </c>
      <c r="G78" s="40">
        <f>IMAGE("https://raw.githubusercontent.com/stautonico/pokemon-home-pokedex/main/sprites/tirtouga.png", 2)</f>
        <v>0</v>
      </c>
      <c r="I78" s="40">
        <f>IMAGE("https://raw.githubusercontent.com/stautonico/pokemon-home-pokedex/main/sprites/escavalier.png", 2)</f>
        <v>0</v>
      </c>
      <c r="J78" s="40">
        <f>IMAGE("https://raw.githubusercontent.com/stautonico/pokemon-home-pokedex/main/sprites/foongus.png", 2)</f>
        <v>0</v>
      </c>
      <c r="K78" s="40">
        <f>IMAGE("https://raw.githubusercontent.com/stautonico/pokemon-home-pokedex/main/sprites/amoonguss.png", 2)</f>
        <v>0</v>
      </c>
      <c r="L78" s="40">
        <f>IMAGE("https://raw.githubusercontent.com/stautonico/pokemon-home-pokedex/main/sprites/frillish.png", 2)</f>
        <v>0</v>
      </c>
      <c r="M78" s="40">
        <f>IMAGE("https://raw.githubusercontent.com/stautonico/pokemon-home-pokedex/main/sprites/jellicent.png", 2)</f>
        <v>0</v>
      </c>
      <c r="N78" s="40">
        <f>IMAGE("https://raw.githubusercontent.com/stautonico/pokemon-home-pokedex/main/sprites/alomomola.png", 2)</f>
        <v>0</v>
      </c>
    </row>
    <row r="79" spans="2:14" ht="72" customHeight="1">
      <c r="B79" s="40">
        <f>IMAGE("https://raw.githubusercontent.com/stautonico/pokemon-home-pokedex/main/sprites/carracosta.png", 2)</f>
        <v>0</v>
      </c>
      <c r="C79" s="40">
        <f>IMAGE("https://raw.githubusercontent.com/stautonico/pokemon-home-pokedex/main/sprites/archen.png", 2)</f>
        <v>0</v>
      </c>
      <c r="D79" s="40">
        <f>IMAGE("https://raw.githubusercontent.com/stautonico/pokemon-home-pokedex/main/sprites/archeops.png", 2)</f>
        <v>0</v>
      </c>
      <c r="E79" s="40">
        <f>IMAGE("https://raw.githubusercontent.com/stautonico/pokemon-home-pokedex/main/sprites/trubbish.png", 2)</f>
        <v>0</v>
      </c>
      <c r="F79" s="40">
        <f>IMAGE("https://raw.githubusercontent.com/stautonico/pokemon-home-pokedex/main/sprites/garbodor.png", 2)</f>
        <v>0</v>
      </c>
      <c r="G79" s="40">
        <f>IMAGE("https://raw.githubusercontent.com/stautonico/pokemon-home-pokedex/main/sprites/zorua.png", 2)</f>
        <v>0</v>
      </c>
      <c r="I79" s="40">
        <f>IMAGE("https://raw.githubusercontent.com/stautonico/pokemon-home-pokedex/main/sprites/joltik.png", 2)</f>
        <v>0</v>
      </c>
      <c r="J79" s="40">
        <f>IMAGE("https://raw.githubusercontent.com/stautonico/pokemon-home-pokedex/main/sprites/galvantula.png", 2)</f>
        <v>0</v>
      </c>
      <c r="K79" s="40">
        <f>IMAGE("https://raw.githubusercontent.com/stautonico/pokemon-home-pokedex/main/sprites/ferroseed.png", 2)</f>
        <v>0</v>
      </c>
      <c r="L79" s="40">
        <f>IMAGE("https://raw.githubusercontent.com/stautonico/pokemon-home-pokedex/main/sprites/ferrothorn.png", 2)</f>
        <v>0</v>
      </c>
      <c r="M79" s="40">
        <f>IMAGE("https://raw.githubusercontent.com/stautonico/pokemon-home-pokedex/main/sprites/klink.png", 2)</f>
        <v>0</v>
      </c>
      <c r="N79" s="40">
        <f>IMAGE("https://raw.githubusercontent.com/stautonico/pokemon-home-pokedex/main/sprites/klang.png", 2)</f>
        <v>0</v>
      </c>
    </row>
    <row r="82" spans="2:14">
      <c r="B82" s="39" t="s">
        <v>1340</v>
      </c>
      <c r="I82" s="39" t="s">
        <v>1341</v>
      </c>
    </row>
    <row r="83" spans="2:14" ht="72" customHeight="1">
      <c r="B83" s="40">
        <f>IMAGE("https://raw.githubusercontent.com/stautonico/pokemon-home-pokedex/main/sprites/klinklang.png", 2)</f>
        <v>0</v>
      </c>
      <c r="C83" s="40">
        <f>IMAGE("https://raw.githubusercontent.com/stautonico/pokemon-home-pokedex/main/sprites/tynamo.png", 2)</f>
        <v>0</v>
      </c>
      <c r="D83" s="40">
        <f>IMAGE("https://raw.githubusercontent.com/stautonico/pokemon-home-pokedex/main/sprites/eelektrik.png", 2)</f>
        <v>0</v>
      </c>
      <c r="E83" s="40">
        <f>IMAGE("https://raw.githubusercontent.com/stautonico/pokemon-home-pokedex/main/sprites/eelektross.png", 2)</f>
        <v>0</v>
      </c>
      <c r="F83" s="40">
        <f>IMAGE("https://raw.githubusercontent.com/stautonico/pokemon-home-pokedex/main/sprites/elgyem.png", 2)</f>
        <v>0</v>
      </c>
      <c r="G83" s="40">
        <f>IMAGE("https://raw.githubusercontent.com/stautonico/pokemon-home-pokedex/main/sprites/beheeyem.png", 2)</f>
        <v>0</v>
      </c>
      <c r="I83" s="40">
        <f>IMAGE("https://raw.githubusercontent.com/stautonico/pokemon-home-pokedex/main/sprites/heatmor.png", 2)</f>
        <v>0</v>
      </c>
      <c r="J83" s="40">
        <f>IMAGE("https://raw.githubusercontent.com/stautonico/pokemon-home-pokedex/main/sprites/durant.png", 2)</f>
        <v>0</v>
      </c>
      <c r="K83" s="40">
        <f>IMAGE("https://raw.githubusercontent.com/stautonico/pokemon-home-pokedex/main/sprites/deino.png", 2)</f>
        <v>0</v>
      </c>
      <c r="L83" s="40">
        <f>IMAGE("https://raw.githubusercontent.com/stautonico/pokemon-home-pokedex/main/sprites/zweilous.png", 2)</f>
        <v>0</v>
      </c>
      <c r="M83" s="40">
        <f>IMAGE("https://raw.githubusercontent.com/stautonico/pokemon-home-pokedex/main/sprites/hydreigon.png", 2)</f>
        <v>0</v>
      </c>
      <c r="N83" s="40">
        <f>IMAGE("https://raw.githubusercontent.com/stautonico/pokemon-home-pokedex/main/sprites/larvesta.png", 2)</f>
        <v>0</v>
      </c>
    </row>
    <row r="84" spans="2:14" ht="72" customHeight="1">
      <c r="B84" s="40">
        <f>IMAGE("https://raw.githubusercontent.com/stautonico/pokemon-home-pokedex/main/sprites/litwick.png", 2)</f>
        <v>0</v>
      </c>
      <c r="C84" s="40">
        <f>IMAGE("https://raw.githubusercontent.com/stautonico/pokemon-home-pokedex/main/sprites/lampent.png", 2)</f>
        <v>0</v>
      </c>
      <c r="D84" s="40">
        <f>IMAGE("https://raw.githubusercontent.com/stautonico/pokemon-home-pokedex/main/sprites/chandelure.png", 2)</f>
        <v>0</v>
      </c>
      <c r="E84" s="40">
        <f>IMAGE("https://raw.githubusercontent.com/stautonico/pokemon-home-pokedex/main/sprites/axew.png", 2)</f>
        <v>0</v>
      </c>
      <c r="F84" s="40">
        <f>IMAGE("https://raw.githubusercontent.com/stautonico/pokemon-home-pokedex/main/sprites/fraxure.png", 2)</f>
        <v>0</v>
      </c>
      <c r="G84" s="40">
        <f>IMAGE("https://raw.githubusercontent.com/stautonico/pokemon-home-pokedex/main/sprites/haxorus.png", 2)</f>
        <v>0</v>
      </c>
      <c r="I84" s="40">
        <f>IMAGE("https://raw.githubusercontent.com/stautonico/pokemon-home-pokedex/main/sprites/volcarona.png", 2)</f>
        <v>0</v>
      </c>
      <c r="J84" s="40">
        <f>IMAGE("https://raw.githubusercontent.com/stautonico/pokemon-home-pokedex/main/sprites/cobalion.png", 2)</f>
        <v>0</v>
      </c>
      <c r="K84" s="40">
        <f>IMAGE("https://raw.githubusercontent.com/stautonico/pokemon-home-pokedex/main/sprites/terrakion.png", 2)</f>
        <v>0</v>
      </c>
      <c r="L84" s="40">
        <f>IMAGE("https://raw.githubusercontent.com/stautonico/pokemon-home-pokedex/main/sprites/virizion.png", 2)</f>
        <v>0</v>
      </c>
      <c r="M84" s="40">
        <f>IMAGE("https://raw.githubusercontent.com/stautonico/pokemon-home-pokedex/main/sprites/tornadus.png", 2)</f>
        <v>0</v>
      </c>
      <c r="N84" s="40">
        <f>IMAGE("https://raw.githubusercontent.com/stautonico/pokemon-home-pokedex/main/sprites/thundurus.png", 2)</f>
        <v>0</v>
      </c>
    </row>
    <row r="85" spans="2:14" ht="72" customHeight="1">
      <c r="B85" s="40">
        <f>IMAGE("https://raw.githubusercontent.com/stautonico/pokemon-home-pokedex/main/sprites/cubchoo.png", 2)</f>
        <v>0</v>
      </c>
      <c r="C85" s="40">
        <f>IMAGE("https://raw.githubusercontent.com/stautonico/pokemon-home-pokedex/main/sprites/beartic.png", 2)</f>
        <v>0</v>
      </c>
      <c r="D85" s="40">
        <f>IMAGE("https://raw.githubusercontent.com/stautonico/pokemon-home-pokedex/main/sprites/cryogonal.png", 2)</f>
        <v>0</v>
      </c>
      <c r="E85" s="40">
        <f>IMAGE("https://raw.githubusercontent.com/stautonico/pokemon-home-pokedex/main/sprites/shelmet.png", 2)</f>
        <v>0</v>
      </c>
      <c r="F85" s="40">
        <f>IMAGE("https://raw.githubusercontent.com/stautonico/pokemon-home-pokedex/main/sprites/accelgor.png", 2)</f>
        <v>0</v>
      </c>
      <c r="G85" s="40">
        <f>IMAGE("https://raw.githubusercontent.com/stautonico/pokemon-home-pokedex/main/sprites/stunfisk.png", 2)</f>
        <v>0</v>
      </c>
      <c r="I85" s="40">
        <f>IMAGE("https://raw.githubusercontent.com/stautonico/pokemon-home-pokedex/main/sprites/reshiram.png", 2)</f>
        <v>0</v>
      </c>
      <c r="J85" s="40">
        <f>IMAGE("https://raw.githubusercontent.com/stautonico/pokemon-home-pokedex/main/sprites/zekrom.png", 2)</f>
        <v>0</v>
      </c>
      <c r="K85" s="40">
        <f>IMAGE("https://raw.githubusercontent.com/stautonico/pokemon-home-pokedex/main/sprites/landorus.png", 2)</f>
        <v>0</v>
      </c>
      <c r="L85" s="40">
        <f>IMAGE("https://raw.githubusercontent.com/stautonico/pokemon-home-pokedex/main/sprites/kyurem.png", 2)</f>
        <v>0</v>
      </c>
      <c r="M85" s="40">
        <f>IMAGE("https://raw.githubusercontent.com/stautonico/pokemon-home-pokedex/main/sprites/keldeo.png", 2)</f>
        <v>0</v>
      </c>
      <c r="N85" s="40">
        <f>IMAGE("https://raw.githubusercontent.com/stautonico/pokemon-home-pokedex/main/sprites/meloetta.png", 2)</f>
        <v>0</v>
      </c>
    </row>
    <row r="86" spans="2:14" ht="72" customHeight="1">
      <c r="B86" s="40">
        <f>IMAGE("https://raw.githubusercontent.com/stautonico/pokemon-home-pokedex/main/sprites/mienfoo.png", 2)</f>
        <v>0</v>
      </c>
      <c r="C86" s="40">
        <f>IMAGE("https://raw.githubusercontent.com/stautonico/pokemon-home-pokedex/main/sprites/mienshao.png", 2)</f>
        <v>0</v>
      </c>
      <c r="D86" s="40">
        <f>IMAGE("https://raw.githubusercontent.com/stautonico/pokemon-home-pokedex/main/sprites/druddigon.png", 2)</f>
        <v>0</v>
      </c>
      <c r="E86" s="40">
        <f>IMAGE("https://raw.githubusercontent.com/stautonico/pokemon-home-pokedex/main/sprites/golett.png", 2)</f>
        <v>0</v>
      </c>
      <c r="F86" s="40">
        <f>IMAGE("https://raw.githubusercontent.com/stautonico/pokemon-home-pokedex/main/sprites/golurk.png", 2)</f>
        <v>0</v>
      </c>
      <c r="G86" s="40">
        <f>IMAGE("https://raw.githubusercontent.com/stautonico/pokemon-home-pokedex/main/sprites/pawniard.png", 2)</f>
        <v>0</v>
      </c>
      <c r="I86" s="40">
        <f>IMAGE("https://raw.githubusercontent.com/stautonico/pokemon-home-pokedex/main/sprites/genesect.png", 2)</f>
        <v>0</v>
      </c>
      <c r="J86" s="40">
        <f>IMAGE("https://raw.githubusercontent.com/stautonico/pokemon-home-pokedex/main/sprites/chespin.png", 2)</f>
        <v>0</v>
      </c>
      <c r="K86" s="40">
        <f>IMAGE("https://raw.githubusercontent.com/stautonico/pokemon-home-pokedex/main/sprites/quilladin.png", 2)</f>
        <v>0</v>
      </c>
      <c r="L86" s="40">
        <f>IMAGE("https://raw.githubusercontent.com/stautonico/pokemon-home-pokedex/main/sprites/chesnaught.png", 2)</f>
        <v>0</v>
      </c>
      <c r="M86" s="40">
        <f>IMAGE("https://raw.githubusercontent.com/stautonico/pokemon-home-pokedex/main/sprites/fennekin.png", 2)</f>
        <v>0</v>
      </c>
      <c r="N86" s="40">
        <f>IMAGE("https://raw.githubusercontent.com/stautonico/pokemon-home-pokedex/main/sprites/braixen.png", 2)</f>
        <v>0</v>
      </c>
    </row>
    <row r="87" spans="2:14" ht="72" customHeight="1">
      <c r="B87" s="40">
        <f>IMAGE("https://raw.githubusercontent.com/stautonico/pokemon-home-pokedex/main/sprites/bisharp.png", 2)</f>
        <v>0</v>
      </c>
      <c r="C87" s="40">
        <f>IMAGE("https://raw.githubusercontent.com/stautonico/pokemon-home-pokedex/main/sprites/bouffalant.png", 2)</f>
        <v>0</v>
      </c>
      <c r="D87" s="40">
        <f>IMAGE("https://raw.githubusercontent.com/stautonico/pokemon-home-pokedex/main/sprites/rufflet.png", 2)</f>
        <v>0</v>
      </c>
      <c r="E87" s="40">
        <f>IMAGE("https://raw.githubusercontent.com/stautonico/pokemon-home-pokedex/main/sprites/braviary.png", 2)</f>
        <v>0</v>
      </c>
      <c r="F87" s="40">
        <f>IMAGE("https://raw.githubusercontent.com/stautonico/pokemon-home-pokedex/main/sprites/vullaby.png", 2)</f>
        <v>0</v>
      </c>
      <c r="G87" s="40">
        <f>IMAGE("https://raw.githubusercontent.com/stautonico/pokemon-home-pokedex/main/sprites/mandibuzz.png", 2)</f>
        <v>0</v>
      </c>
      <c r="I87" s="40">
        <f>IMAGE("https://raw.githubusercontent.com/stautonico/pokemon-home-pokedex/main/sprites/delphox.png", 2)</f>
        <v>0</v>
      </c>
      <c r="J87" s="40">
        <f>IMAGE("https://raw.githubusercontent.com/stautonico/pokemon-home-pokedex/main/sprites/froakie.png", 2)</f>
        <v>0</v>
      </c>
      <c r="K87" s="40">
        <f>IMAGE("https://raw.githubusercontent.com/stautonico/pokemon-home-pokedex/main/sprites/frogadier.png", 2)</f>
        <v>0</v>
      </c>
      <c r="L87" s="40">
        <f>IMAGE("https://raw.githubusercontent.com/stautonico/pokemon-home-pokedex/main/sprites/greninja.png", 2)</f>
        <v>0</v>
      </c>
      <c r="M87" s="40">
        <f>IMAGE("https://raw.githubusercontent.com/stautonico/pokemon-home-pokedex/main/sprites/bunnelby.png", 2)</f>
        <v>0</v>
      </c>
      <c r="N87" s="40">
        <f>IMAGE("https://raw.githubusercontent.com/stautonico/pokemon-home-pokedex/main/sprites/diggersby.png", 2)</f>
        <v>0</v>
      </c>
    </row>
    <row r="90" spans="2:14">
      <c r="B90" s="39" t="s">
        <v>1342</v>
      </c>
      <c r="I90" s="39" t="s">
        <v>1343</v>
      </c>
    </row>
    <row r="91" spans="2:14" ht="72" customHeight="1">
      <c r="B91" s="40">
        <f>IMAGE("https://raw.githubusercontent.com/stautonico/pokemon-home-pokedex/main/sprites/fletchling.png", 2)</f>
        <v>0</v>
      </c>
      <c r="C91" s="40">
        <f>IMAGE("https://raw.githubusercontent.com/stautonico/pokemon-home-pokedex/main/sprites/fletchinder.png", 2)</f>
        <v>0</v>
      </c>
      <c r="D91" s="40">
        <f>IMAGE("https://raw.githubusercontent.com/stautonico/pokemon-home-pokedex/main/sprites/talonflame.png", 2)</f>
        <v>0</v>
      </c>
      <c r="E91" s="40">
        <f>IMAGE("https://raw.githubusercontent.com/stautonico/pokemon-home-pokedex/main/sprites/scatterbug.png", 2)</f>
        <v>0</v>
      </c>
      <c r="F91" s="40">
        <f>IMAGE("https://raw.githubusercontent.com/stautonico/pokemon-home-pokedex/main/sprites/spewpa.png", 2)</f>
        <v>0</v>
      </c>
      <c r="G91" s="40">
        <f>IMAGE("https://raw.githubusercontent.com/stautonico/pokemon-home-pokedex/main/sprites/vivillon.png", 2)</f>
        <v>0</v>
      </c>
      <c r="I91" s="40">
        <f>IMAGE("https://raw.githubusercontent.com/stautonico/pokemon-home-pokedex/main/sprites/dragalge.png", 2)</f>
        <v>0</v>
      </c>
      <c r="J91" s="40">
        <f>IMAGE("https://raw.githubusercontent.com/stautonico/pokemon-home-pokedex/main/sprites/clauncher.png", 2)</f>
        <v>0</v>
      </c>
      <c r="K91" s="40">
        <f>IMAGE("https://raw.githubusercontent.com/stautonico/pokemon-home-pokedex/main/sprites/clawitzer.png", 2)</f>
        <v>0</v>
      </c>
      <c r="L91" s="40">
        <f>IMAGE("https://raw.githubusercontent.com/stautonico/pokemon-home-pokedex/main/sprites/helioptile.png", 2)</f>
        <v>0</v>
      </c>
      <c r="M91" s="40">
        <f>IMAGE("https://raw.githubusercontent.com/stautonico/pokemon-home-pokedex/main/sprites/heliolisk.png", 2)</f>
        <v>0</v>
      </c>
      <c r="N91" s="40">
        <f>IMAGE("https://raw.githubusercontent.com/stautonico/pokemon-home-pokedex/main/sprites/tyrunt.png", 2)</f>
        <v>0</v>
      </c>
    </row>
    <row r="92" spans="2:14" ht="72" customHeight="1">
      <c r="B92" s="40">
        <f>IMAGE("https://raw.githubusercontent.com/stautonico/pokemon-home-pokedex/main/sprites/litleo.png", 2)</f>
        <v>0</v>
      </c>
      <c r="C92" s="40">
        <f>IMAGE("https://raw.githubusercontent.com/stautonico/pokemon-home-pokedex/main/sprites/pyroar.png", 2)</f>
        <v>0</v>
      </c>
      <c r="D92" s="40">
        <f>IMAGE("https://raw.githubusercontent.com/stautonico/pokemon-home-pokedex/main/sprites/flabebe.png", 2)</f>
        <v>0</v>
      </c>
      <c r="E92" s="40">
        <f>IMAGE("https://raw.githubusercontent.com/stautonico/pokemon-home-pokedex/main/sprites/floette.png", 2)</f>
        <v>0</v>
      </c>
      <c r="F92" s="40">
        <f>IMAGE("https://raw.githubusercontent.com/stautonico/pokemon-home-pokedex/main/sprites/florges.png", 2)</f>
        <v>0</v>
      </c>
      <c r="G92" s="40">
        <f>IMAGE("https://raw.githubusercontent.com/stautonico/pokemon-home-pokedex/main/sprites/skiddo.png", 2)</f>
        <v>0</v>
      </c>
      <c r="I92" s="40">
        <f>IMAGE("https://raw.githubusercontent.com/stautonico/pokemon-home-pokedex/main/sprites/tyrantrum.png", 2)</f>
        <v>0</v>
      </c>
      <c r="J92" s="40">
        <f>IMAGE("https://raw.githubusercontent.com/stautonico/pokemon-home-pokedex/main/sprites/amaura.png", 2)</f>
        <v>0</v>
      </c>
      <c r="K92" s="40">
        <f>IMAGE("https://raw.githubusercontent.com/stautonico/pokemon-home-pokedex/main/sprites/aurorus.png", 2)</f>
        <v>0</v>
      </c>
      <c r="L92" s="40">
        <f>IMAGE("https://raw.githubusercontent.com/stautonico/pokemon-home-pokedex/main/sprites/sylveon.png", 2)</f>
        <v>0</v>
      </c>
      <c r="M92" s="40">
        <f>IMAGE("https://raw.githubusercontent.com/stautonico/pokemon-home-pokedex/main/sprites/hawlucha.png", 2)</f>
        <v>0</v>
      </c>
      <c r="N92" s="40">
        <f>IMAGE("https://raw.githubusercontent.com/stautonico/pokemon-home-pokedex/main/sprites/dedenne.png", 2)</f>
        <v>0</v>
      </c>
    </row>
    <row r="93" spans="2:14" ht="72" customHeight="1">
      <c r="B93" s="40">
        <f>IMAGE("https://raw.githubusercontent.com/stautonico/pokemon-home-pokedex/main/sprites/gogoat.png", 2)</f>
        <v>0</v>
      </c>
      <c r="C93" s="40">
        <f>IMAGE("https://raw.githubusercontent.com/stautonico/pokemon-home-pokedex/main/sprites/pancham.png", 2)</f>
        <v>0</v>
      </c>
      <c r="D93" s="40">
        <f>IMAGE("https://raw.githubusercontent.com/stautonico/pokemon-home-pokedex/main/sprites/pangoro.png", 2)</f>
        <v>0</v>
      </c>
      <c r="E93" s="40">
        <f>IMAGE("https://raw.githubusercontent.com/stautonico/pokemon-home-pokedex/main/sprites/furfrou.png", 2)</f>
        <v>0</v>
      </c>
      <c r="F93" s="40">
        <f>IMAGE("https://raw.githubusercontent.com/stautonico/pokemon-home-pokedex/main/sprites/espurr.png", 2)</f>
        <v>0</v>
      </c>
      <c r="G93" s="40">
        <f>IMAGE("https://raw.githubusercontent.com/stautonico/pokemon-home-pokedex/main/sprites/meowstic.png", 2)</f>
        <v>0</v>
      </c>
      <c r="I93" s="40">
        <f>IMAGE("https://raw.githubusercontent.com/stautonico/pokemon-home-pokedex/main/sprites/carbink.png", 2)</f>
        <v>0</v>
      </c>
      <c r="J93" s="40">
        <f>IMAGE("https://raw.githubusercontent.com/stautonico/pokemon-home-pokedex/main/sprites/goomy.png", 2)</f>
        <v>0</v>
      </c>
      <c r="K93" s="40">
        <f>IMAGE("https://raw.githubusercontent.com/stautonico/pokemon-home-pokedex/main/sprites/sliggoo.png", 2)</f>
        <v>0</v>
      </c>
      <c r="L93" s="40">
        <f>IMAGE("https://raw.githubusercontent.com/stautonico/pokemon-home-pokedex/main/sprites/goodra.png", 2)</f>
        <v>0</v>
      </c>
      <c r="M93" s="40">
        <f>IMAGE("https://raw.githubusercontent.com/stautonico/pokemon-home-pokedex/main/sprites/klefki.png", 2)</f>
        <v>0</v>
      </c>
      <c r="N93" s="40">
        <f>IMAGE("https://raw.githubusercontent.com/stautonico/pokemon-home-pokedex/main/sprites/phantump.png", 2)</f>
        <v>0</v>
      </c>
    </row>
    <row r="94" spans="2:14" ht="72" customHeight="1">
      <c r="B94" s="40">
        <f>IMAGE("https://raw.githubusercontent.com/stautonico/pokemon-home-pokedex/main/sprites/honedge.png", 2)</f>
        <v>0</v>
      </c>
      <c r="C94" s="40">
        <f>IMAGE("https://raw.githubusercontent.com/stautonico/pokemon-home-pokedex/main/sprites/doublade.png", 2)</f>
        <v>0</v>
      </c>
      <c r="D94" s="40">
        <f>IMAGE("https://raw.githubusercontent.com/stautonico/pokemon-home-pokedex/main/sprites/aegislash.png", 2)</f>
        <v>0</v>
      </c>
      <c r="E94" s="40">
        <f>IMAGE("https://raw.githubusercontent.com/stautonico/pokemon-home-pokedex/main/sprites/spritzee.png", 2)</f>
        <v>0</v>
      </c>
      <c r="F94" s="40">
        <f>IMAGE("https://raw.githubusercontent.com/stautonico/pokemon-home-pokedex/main/sprites/aromatisse.png", 2)</f>
        <v>0</v>
      </c>
      <c r="G94" s="40">
        <f>IMAGE("https://raw.githubusercontent.com/stautonico/pokemon-home-pokedex/main/sprites/swirlix.png", 2)</f>
        <v>0</v>
      </c>
      <c r="I94" s="40">
        <f>IMAGE("https://raw.githubusercontent.com/stautonico/pokemon-home-pokedex/main/sprites/trevenant.png", 2)</f>
        <v>0</v>
      </c>
      <c r="J94" s="40">
        <f>IMAGE("https://raw.githubusercontent.com/stautonico/pokemon-home-pokedex/main/sprites/pumpkaboo.png", 2)</f>
        <v>0</v>
      </c>
      <c r="K94" s="40">
        <f>IMAGE("https://raw.githubusercontent.com/stautonico/pokemon-home-pokedex/main/sprites/gourgeist.png", 2)</f>
        <v>0</v>
      </c>
      <c r="L94" s="40">
        <f>IMAGE("https://raw.githubusercontent.com/stautonico/pokemon-home-pokedex/main/sprites/bergmite.png", 2)</f>
        <v>0</v>
      </c>
      <c r="M94" s="40">
        <f>IMAGE("https://raw.githubusercontent.com/stautonico/pokemon-home-pokedex/main/sprites/avalugg.png", 2)</f>
        <v>0</v>
      </c>
      <c r="N94" s="40">
        <f>IMAGE("https://raw.githubusercontent.com/stautonico/pokemon-home-pokedex/main/sprites/noibat.png", 2)</f>
        <v>0</v>
      </c>
    </row>
    <row r="95" spans="2:14" ht="72" customHeight="1">
      <c r="B95" s="40">
        <f>IMAGE("https://raw.githubusercontent.com/stautonico/pokemon-home-pokedex/main/sprites/slurpuff.png", 2)</f>
        <v>0</v>
      </c>
      <c r="C95" s="40">
        <f>IMAGE("https://raw.githubusercontent.com/stautonico/pokemon-home-pokedex/main/sprites/inkay.png", 2)</f>
        <v>0</v>
      </c>
      <c r="D95" s="40">
        <f>IMAGE("https://raw.githubusercontent.com/stautonico/pokemon-home-pokedex/main/sprites/malamar.png", 2)</f>
        <v>0</v>
      </c>
      <c r="E95" s="40">
        <f>IMAGE("https://raw.githubusercontent.com/stautonico/pokemon-home-pokedex/main/sprites/binacle.png", 2)</f>
        <v>0</v>
      </c>
      <c r="F95" s="40">
        <f>IMAGE("https://raw.githubusercontent.com/stautonico/pokemon-home-pokedex/main/sprites/barbaracle.png", 2)</f>
        <v>0</v>
      </c>
      <c r="G95" s="40">
        <f>IMAGE("https://raw.githubusercontent.com/stautonico/pokemon-home-pokedex/main/sprites/skrelp.png", 2)</f>
        <v>0</v>
      </c>
      <c r="I95" s="40">
        <f>IMAGE("https://raw.githubusercontent.com/stautonico/pokemon-home-pokedex/main/sprites/noivern.png", 2)</f>
        <v>0</v>
      </c>
      <c r="J95" s="40">
        <f>IMAGE("https://raw.githubusercontent.com/stautonico/pokemon-home-pokedex/main/sprites/xerneas.png", 2)</f>
        <v>0</v>
      </c>
      <c r="K95" s="40">
        <f>IMAGE("https://raw.githubusercontent.com/stautonico/pokemon-home-pokedex/main/sprites/yveltal.png", 2)</f>
        <v>0</v>
      </c>
      <c r="L95" s="40">
        <f>IMAGE("https://raw.githubusercontent.com/stautonico/pokemon-home-pokedex/main/sprites/zygarde.png", 2)</f>
        <v>0</v>
      </c>
      <c r="M95" s="40">
        <f>IMAGE("https://raw.githubusercontent.com/stautonico/pokemon-home-pokedex/main/sprites/diancie.png", 2)</f>
        <v>0</v>
      </c>
      <c r="N95" s="40">
        <f>IMAGE("https://raw.githubusercontent.com/stautonico/pokemon-home-pokedex/main/sprites/hoopa.png", 2)</f>
        <v>0</v>
      </c>
    </row>
    <row r="98" spans="2:14">
      <c r="B98" s="39" t="s">
        <v>1344</v>
      </c>
      <c r="I98" s="39" t="s">
        <v>1345</v>
      </c>
    </row>
    <row r="99" spans="2:14" ht="72" customHeight="1">
      <c r="B99" s="40">
        <f>IMAGE("https://raw.githubusercontent.com/stautonico/pokemon-home-pokedex/main/sprites/volcanion.png", 2)</f>
        <v>0</v>
      </c>
      <c r="C99" s="40">
        <f>IMAGE("https://raw.githubusercontent.com/stautonico/pokemon-home-pokedex/main/sprites/rowlet.png", 2)</f>
        <v>0</v>
      </c>
      <c r="D99" s="40">
        <f>IMAGE("https://raw.githubusercontent.com/stautonico/pokemon-home-pokedex/main/sprites/dartrix.png", 2)</f>
        <v>0</v>
      </c>
      <c r="E99" s="40">
        <f>IMAGE("https://raw.githubusercontent.com/stautonico/pokemon-home-pokedex/main/sprites/decidueye.png", 2)</f>
        <v>0</v>
      </c>
      <c r="F99" s="40">
        <f>IMAGE("https://raw.githubusercontent.com/stautonico/pokemon-home-pokedex/main/sprites/litten.png", 2)</f>
        <v>0</v>
      </c>
      <c r="G99" s="40">
        <f>IMAGE("https://raw.githubusercontent.com/stautonico/pokemon-home-pokedex/main/sprites/torracat.png", 2)</f>
        <v>0</v>
      </c>
      <c r="I99" s="40">
        <f>IMAGE("https://raw.githubusercontent.com/stautonico/pokemon-home-pokedex/main/sprites/dewpider.png", 2)</f>
        <v>0</v>
      </c>
      <c r="J99" s="40">
        <f>IMAGE("https://raw.githubusercontent.com/stautonico/pokemon-home-pokedex/main/sprites/araquanid.png", 2)</f>
        <v>0</v>
      </c>
      <c r="K99" s="40">
        <f>IMAGE("https://raw.githubusercontent.com/stautonico/pokemon-home-pokedex/main/sprites/fomantis.png", 2)</f>
        <v>0</v>
      </c>
      <c r="L99" s="40">
        <f>IMAGE("https://raw.githubusercontent.com/stautonico/pokemon-home-pokedex/main/sprites/lurantis.png", 2)</f>
        <v>0</v>
      </c>
      <c r="M99" s="40">
        <f>IMAGE("https://raw.githubusercontent.com/stautonico/pokemon-home-pokedex/main/sprites/morelull.png", 2)</f>
        <v>0</v>
      </c>
      <c r="N99" s="40">
        <f>IMAGE("https://raw.githubusercontent.com/stautonico/pokemon-home-pokedex/main/sprites/shiinotic.png", 2)</f>
        <v>0</v>
      </c>
    </row>
    <row r="100" spans="2:14" ht="72" customHeight="1">
      <c r="B100" s="40">
        <f>IMAGE("https://raw.githubusercontent.com/stautonico/pokemon-home-pokedex/main/sprites/incineroar.png", 2)</f>
        <v>0</v>
      </c>
      <c r="C100" s="40">
        <f>IMAGE("https://raw.githubusercontent.com/stautonico/pokemon-home-pokedex/main/sprites/popplio.png", 2)</f>
        <v>0</v>
      </c>
      <c r="D100" s="40">
        <f>IMAGE("https://raw.githubusercontent.com/stautonico/pokemon-home-pokedex/main/sprites/brionne.png", 2)</f>
        <v>0</v>
      </c>
      <c r="E100" s="40">
        <f>IMAGE("https://raw.githubusercontent.com/stautonico/pokemon-home-pokedex/main/sprites/primarina.png", 2)</f>
        <v>0</v>
      </c>
      <c r="F100" s="40">
        <f>IMAGE("https://raw.githubusercontent.com/stautonico/pokemon-home-pokedex/main/sprites/pikipek.png", 2)</f>
        <v>0</v>
      </c>
      <c r="G100" s="40">
        <f>IMAGE("https://raw.githubusercontent.com/stautonico/pokemon-home-pokedex/main/sprites/trumbeak.png", 2)</f>
        <v>0</v>
      </c>
      <c r="I100" s="40">
        <f>IMAGE("https://raw.githubusercontent.com/stautonico/pokemon-home-pokedex/main/sprites/salandit.png", 2)</f>
        <v>0</v>
      </c>
      <c r="J100" s="40">
        <f>IMAGE("https://raw.githubusercontent.com/stautonico/pokemon-home-pokedex/main/sprites/salazzle.png", 2)</f>
        <v>0</v>
      </c>
      <c r="K100" s="40">
        <f>IMAGE("https://raw.githubusercontent.com/stautonico/pokemon-home-pokedex/main/sprites/stufful.png", 2)</f>
        <v>0</v>
      </c>
      <c r="L100" s="40">
        <f>IMAGE("https://raw.githubusercontent.com/stautonico/pokemon-home-pokedex/main/sprites/bewear.png", 2)</f>
        <v>0</v>
      </c>
      <c r="M100" s="40">
        <f>IMAGE("https://raw.githubusercontent.com/stautonico/pokemon-home-pokedex/main/sprites/bounsweet.png", 2)</f>
        <v>0</v>
      </c>
      <c r="N100" s="40">
        <f>IMAGE("https://raw.githubusercontent.com/stautonico/pokemon-home-pokedex/main/sprites/steenee.png", 2)</f>
        <v>0</v>
      </c>
    </row>
    <row r="101" spans="2:14" ht="72" customHeight="1">
      <c r="B101" s="40">
        <f>IMAGE("https://raw.githubusercontent.com/stautonico/pokemon-home-pokedex/main/sprites/toucannon.png", 2)</f>
        <v>0</v>
      </c>
      <c r="C101" s="40">
        <f>IMAGE("https://raw.githubusercontent.com/stautonico/pokemon-home-pokedex/main/sprites/yungoos.png", 2)</f>
        <v>0</v>
      </c>
      <c r="D101" s="40">
        <f>IMAGE("https://raw.githubusercontent.com/stautonico/pokemon-home-pokedex/main/sprites/gumshoos.png", 2)</f>
        <v>0</v>
      </c>
      <c r="E101" s="40">
        <f>IMAGE("https://raw.githubusercontent.com/stautonico/pokemon-home-pokedex/main/sprites/grubbin.png", 2)</f>
        <v>0</v>
      </c>
      <c r="F101" s="40">
        <f>IMAGE("https://raw.githubusercontent.com/stautonico/pokemon-home-pokedex/main/sprites/charjabug.png", 2)</f>
        <v>0</v>
      </c>
      <c r="G101" s="40">
        <f>IMAGE("https://raw.githubusercontent.com/stautonico/pokemon-home-pokedex/main/sprites/vikavolt.png", 2)</f>
        <v>0</v>
      </c>
      <c r="I101" s="40">
        <f>IMAGE("https://raw.githubusercontent.com/stautonico/pokemon-home-pokedex/main/sprites/tsareena.png", 2)</f>
        <v>0</v>
      </c>
      <c r="J101" s="40">
        <f>IMAGE("https://raw.githubusercontent.com/stautonico/pokemon-home-pokedex/main/sprites/comfey.png", 2)</f>
        <v>0</v>
      </c>
      <c r="K101" s="40">
        <f>IMAGE("https://raw.githubusercontent.com/stautonico/pokemon-home-pokedex/main/sprites/oranguru.png", 2)</f>
        <v>0</v>
      </c>
      <c r="L101" s="40">
        <f>IMAGE("https://raw.githubusercontent.com/stautonico/pokemon-home-pokedex/main/sprites/passimian.png", 2)</f>
        <v>0</v>
      </c>
      <c r="M101" s="40">
        <f>IMAGE("https://raw.githubusercontent.com/stautonico/pokemon-home-pokedex/main/sprites/wimpod.png", 2)</f>
        <v>0</v>
      </c>
      <c r="N101" s="40">
        <f>IMAGE("https://raw.githubusercontent.com/stautonico/pokemon-home-pokedex/main/sprites/golisopod.png", 2)</f>
        <v>0</v>
      </c>
    </row>
    <row r="102" spans="2:14" ht="72" customHeight="1">
      <c r="B102" s="40">
        <f>IMAGE("https://raw.githubusercontent.com/stautonico/pokemon-home-pokedex/main/sprites/crabrawler.png", 2)</f>
        <v>0</v>
      </c>
      <c r="C102" s="40">
        <f>IMAGE("https://raw.githubusercontent.com/stautonico/pokemon-home-pokedex/main/sprites/crabominable.png", 2)</f>
        <v>0</v>
      </c>
      <c r="D102" s="40">
        <f>IMAGE("https://raw.githubusercontent.com/stautonico/pokemon-home-pokedex/main/sprites/oricorio.png", 2)</f>
        <v>0</v>
      </c>
      <c r="E102" s="40">
        <f>IMAGE("https://raw.githubusercontent.com/stautonico/pokemon-home-pokedex/main/sprites/cutiefly.png", 2)</f>
        <v>0</v>
      </c>
      <c r="F102" s="40">
        <f>IMAGE("https://raw.githubusercontent.com/stautonico/pokemon-home-pokedex/main/sprites/ribombee.png", 2)</f>
        <v>0</v>
      </c>
      <c r="G102" s="40">
        <f>IMAGE("https://raw.githubusercontent.com/stautonico/pokemon-home-pokedex/main/sprites/rockruff.png", 2)</f>
        <v>0</v>
      </c>
      <c r="I102" s="40">
        <f>IMAGE("https://raw.githubusercontent.com/stautonico/pokemon-home-pokedex/main/sprites/sandygast.png", 2)</f>
        <v>0</v>
      </c>
      <c r="J102" s="40">
        <f>IMAGE("https://raw.githubusercontent.com/stautonico/pokemon-home-pokedex/main/sprites/palossand.png", 2)</f>
        <v>0</v>
      </c>
      <c r="K102" s="40">
        <f>IMAGE("https://raw.githubusercontent.com/stautonico/pokemon-home-pokedex/main/sprites/pyukumuku.png", 2)</f>
        <v>0</v>
      </c>
      <c r="L102" s="40">
        <f>IMAGE("https://raw.githubusercontent.com/stautonico/pokemon-home-pokedex/main/sprites/typenull.png", 2)</f>
        <v>0</v>
      </c>
      <c r="M102" s="40">
        <f>IMAGE("https://raw.githubusercontent.com/stautonico/pokemon-home-pokedex/main/sprites/silvally.png", 2)</f>
        <v>0</v>
      </c>
      <c r="N102" s="40">
        <f>IMAGE("https://raw.githubusercontent.com/stautonico/pokemon-home-pokedex/main/sprites/minior-red.png", 2)</f>
        <v>0</v>
      </c>
    </row>
    <row r="103" spans="2:14" ht="72" customHeight="1">
      <c r="B103" s="40">
        <f>IMAGE("https://raw.githubusercontent.com/stautonico/pokemon-home-pokedex/main/sprites/lycanroc.png", 2)</f>
        <v>0</v>
      </c>
      <c r="C103" s="40">
        <f>IMAGE("https://raw.githubusercontent.com/stautonico/pokemon-home-pokedex/main/sprites/wishiwashi.png", 2)</f>
        <v>0</v>
      </c>
      <c r="D103" s="40">
        <f>IMAGE("https://raw.githubusercontent.com/stautonico/pokemon-home-pokedex/main/sprites/mareanie.png", 2)</f>
        <v>0</v>
      </c>
      <c r="E103" s="40">
        <f>IMAGE("https://raw.githubusercontent.com/stautonico/pokemon-home-pokedex/main/sprites/toxapex.png", 2)</f>
        <v>0</v>
      </c>
      <c r="F103" s="40">
        <f>IMAGE("https://raw.githubusercontent.com/stautonico/pokemon-home-pokedex/main/sprites/mudbray.png", 2)</f>
        <v>0</v>
      </c>
      <c r="G103" s="40">
        <f>IMAGE("https://raw.githubusercontent.com/stautonico/pokemon-home-pokedex/main/sprites/mudsdale.png", 2)</f>
        <v>0</v>
      </c>
      <c r="I103" s="40">
        <f>IMAGE("https://raw.githubusercontent.com/stautonico/pokemon-home-pokedex/main/sprites/komala.png", 2)</f>
        <v>0</v>
      </c>
      <c r="J103" s="40">
        <f>IMAGE("https://raw.githubusercontent.com/stautonico/pokemon-home-pokedex/main/sprites/turtonator.png", 2)</f>
        <v>0</v>
      </c>
      <c r="K103" s="40">
        <f>IMAGE("https://raw.githubusercontent.com/stautonico/pokemon-home-pokedex/main/sprites/togedemaru.png", 2)</f>
        <v>0</v>
      </c>
      <c r="L103" s="40">
        <f>IMAGE("https://raw.githubusercontent.com/stautonico/pokemon-home-pokedex/main/sprites/mimikyu.png", 2)</f>
        <v>0</v>
      </c>
      <c r="M103" s="40">
        <f>IMAGE("https://raw.githubusercontent.com/stautonico/pokemon-home-pokedex/main/sprites/bruxish.png", 2)</f>
        <v>0</v>
      </c>
      <c r="N103" s="40">
        <f>IMAGE("https://raw.githubusercontent.com/stautonico/pokemon-home-pokedex/main/sprites/drampa.png", 2)</f>
        <v>0</v>
      </c>
    </row>
    <row r="106" spans="2:14">
      <c r="B106" s="39" t="s">
        <v>1346</v>
      </c>
      <c r="I106" s="39" t="s">
        <v>1347</v>
      </c>
    </row>
    <row r="107" spans="2:14" ht="72" customHeight="1">
      <c r="B107" s="40">
        <f>IMAGE("https://raw.githubusercontent.com/stautonico/pokemon-home-pokedex/main/sprites/dhelmise.png", 2)</f>
        <v>0</v>
      </c>
      <c r="C107" s="40">
        <f>IMAGE("https://raw.githubusercontent.com/stautonico/pokemon-home-pokedex/main/sprites/jangmo-o.png", 2)</f>
        <v>0</v>
      </c>
      <c r="D107" s="40">
        <f>IMAGE("https://raw.githubusercontent.com/stautonico/pokemon-home-pokedex/main/sprites/hakamo-o.png", 2)</f>
        <v>0</v>
      </c>
      <c r="E107" s="40">
        <f>IMAGE("https://raw.githubusercontent.com/stautonico/pokemon-home-pokedex/main/sprites/kommo-o.png", 2)</f>
        <v>0</v>
      </c>
      <c r="F107" s="40">
        <f>IMAGE("https://raw.githubusercontent.com/stautonico/pokemon-home-pokedex/main/sprites/tapu-koko.png", 2)</f>
        <v>0</v>
      </c>
      <c r="G107" s="40">
        <f>IMAGE("https://raw.githubusercontent.com/stautonico/pokemon-home-pokedex/main/sprites/tapu-lele.png", 2)</f>
        <v>0</v>
      </c>
      <c r="I107" s="40">
        <f>IMAGE("https://raw.githubusercontent.com/stautonico/pokemon-home-pokedex/main/sprites/thwackey.png", 2)</f>
        <v>0</v>
      </c>
      <c r="J107" s="40">
        <f>IMAGE("https://raw.githubusercontent.com/stautonico/pokemon-home-pokedex/main/sprites/rillaboom.png", 2)</f>
        <v>0</v>
      </c>
      <c r="K107" s="40">
        <f>IMAGE("https://raw.githubusercontent.com/stautonico/pokemon-home-pokedex/main/sprites/scorbunny.png", 2)</f>
        <v>0</v>
      </c>
      <c r="L107" s="40">
        <f>IMAGE("https://raw.githubusercontent.com/stautonico/pokemon-home-pokedex/main/sprites/raboot.png", 2)</f>
        <v>0</v>
      </c>
      <c r="M107" s="40">
        <f>IMAGE("https://raw.githubusercontent.com/stautonico/pokemon-home-pokedex/main/sprites/cinderace.png", 2)</f>
        <v>0</v>
      </c>
      <c r="N107" s="40">
        <f>IMAGE("https://raw.githubusercontent.com/stautonico/pokemon-home-pokedex/main/sprites/sobble.png", 2)</f>
        <v>0</v>
      </c>
    </row>
    <row r="108" spans="2:14" ht="72" customHeight="1">
      <c r="B108" s="40">
        <f>IMAGE("https://raw.githubusercontent.com/stautonico/pokemon-home-pokedex/main/sprites/tapu-bulu.png", 2)</f>
        <v>0</v>
      </c>
      <c r="C108" s="40">
        <f>IMAGE("https://raw.githubusercontent.com/stautonico/pokemon-home-pokedex/main/sprites/tapu-fini.png", 2)</f>
        <v>0</v>
      </c>
      <c r="D108" s="40">
        <f>IMAGE("https://raw.githubusercontent.com/stautonico/pokemon-home-pokedex/main/sprites/cosmog.png", 2)</f>
        <v>0</v>
      </c>
      <c r="E108" s="40">
        <f>IMAGE("https://raw.githubusercontent.com/stautonico/pokemon-home-pokedex/main/sprites/cosmoem.png", 2)</f>
        <v>0</v>
      </c>
      <c r="F108" s="40">
        <f>IMAGE("https://raw.githubusercontent.com/stautonico/pokemon-home-pokedex/main/sprites/solgaleo.png", 2)</f>
        <v>0</v>
      </c>
      <c r="G108" s="40">
        <f>IMAGE("https://raw.githubusercontent.com/stautonico/pokemon-home-pokedex/main/sprites/lunala.png", 2)</f>
        <v>0</v>
      </c>
      <c r="I108" s="40">
        <f>IMAGE("https://raw.githubusercontent.com/stautonico/pokemon-home-pokedex/main/sprites/drizzile.png", 2)</f>
        <v>0</v>
      </c>
      <c r="J108" s="40">
        <f>IMAGE("https://raw.githubusercontent.com/stautonico/pokemon-home-pokedex/main/sprites/inteleon.png", 2)</f>
        <v>0</v>
      </c>
      <c r="K108" s="40">
        <f>IMAGE("https://raw.githubusercontent.com/stautonico/pokemon-home-pokedex/main/sprites/skwovet.png", 2)</f>
        <v>0</v>
      </c>
      <c r="L108" s="40">
        <f>IMAGE("https://raw.githubusercontent.com/stautonico/pokemon-home-pokedex/main/sprites/greedent.png", 2)</f>
        <v>0</v>
      </c>
      <c r="M108" s="40">
        <f>IMAGE("https://raw.githubusercontent.com/stautonico/pokemon-home-pokedex/main/sprites/rookidee.png", 2)</f>
        <v>0</v>
      </c>
      <c r="N108" s="40">
        <f>IMAGE("https://raw.githubusercontent.com/stautonico/pokemon-home-pokedex/main/sprites/corvisquire.png", 2)</f>
        <v>0</v>
      </c>
    </row>
    <row r="109" spans="2:14" ht="72" customHeight="1">
      <c r="B109" s="40">
        <f>IMAGE("https://raw.githubusercontent.com/stautonico/pokemon-home-pokedex/main/sprites/nihilego.png", 2)</f>
        <v>0</v>
      </c>
      <c r="C109" s="40">
        <f>IMAGE("https://raw.githubusercontent.com/stautonico/pokemon-home-pokedex/main/sprites/buzzwole.png", 2)</f>
        <v>0</v>
      </c>
      <c r="D109" s="40">
        <f>IMAGE("https://raw.githubusercontent.com/stautonico/pokemon-home-pokedex/main/sprites/pheromosa.png", 2)</f>
        <v>0</v>
      </c>
      <c r="E109" s="40">
        <f>IMAGE("https://raw.githubusercontent.com/stautonico/pokemon-home-pokedex/main/sprites/xurkitree.png", 2)</f>
        <v>0</v>
      </c>
      <c r="F109" s="40">
        <f>IMAGE("https://raw.githubusercontent.com/stautonico/pokemon-home-pokedex/main/sprites/celesteela.png", 2)</f>
        <v>0</v>
      </c>
      <c r="G109" s="40">
        <f>IMAGE("https://raw.githubusercontent.com/stautonico/pokemon-home-pokedex/main/sprites/kartana.png", 2)</f>
        <v>0</v>
      </c>
      <c r="I109" s="40">
        <f>IMAGE("https://raw.githubusercontent.com/stautonico/pokemon-home-pokedex/main/sprites/corviknight.png", 2)</f>
        <v>0</v>
      </c>
      <c r="J109" s="40">
        <f>IMAGE("https://raw.githubusercontent.com/stautonico/pokemon-home-pokedex/main/sprites/blipbug.png", 2)</f>
        <v>0</v>
      </c>
      <c r="K109" s="40">
        <f>IMAGE("https://raw.githubusercontent.com/stautonico/pokemon-home-pokedex/main/sprites/dottler.png", 2)</f>
        <v>0</v>
      </c>
      <c r="L109" s="40">
        <f>IMAGE("https://raw.githubusercontent.com/stautonico/pokemon-home-pokedex/main/sprites/orbeetle.png", 2)</f>
        <v>0</v>
      </c>
      <c r="M109" s="40">
        <f>IMAGE("https://raw.githubusercontent.com/stautonico/pokemon-home-pokedex/main/sprites/nickit.png", 2)</f>
        <v>0</v>
      </c>
      <c r="N109" s="40">
        <f>IMAGE("https://raw.githubusercontent.com/stautonico/pokemon-home-pokedex/main/sprites/thievul.png", 2)</f>
        <v>0</v>
      </c>
    </row>
    <row r="110" spans="2:14" ht="72" customHeight="1">
      <c r="B110" s="40">
        <f>IMAGE("https://raw.githubusercontent.com/stautonico/pokemon-home-pokedex/main/sprites/guzzlord.png", 2)</f>
        <v>0</v>
      </c>
      <c r="C110" s="40">
        <f>IMAGE("https://raw.githubusercontent.com/stautonico/pokemon-home-pokedex/main/sprites/necrozma.png", 2)</f>
        <v>0</v>
      </c>
      <c r="D110" s="40">
        <f>IMAGE("https://raw.githubusercontent.com/stautonico/pokemon-home-pokedex/main/sprites/magearna.png", 2)</f>
        <v>0</v>
      </c>
      <c r="E110" s="40">
        <f>IMAGE("https://raw.githubusercontent.com/stautonico/pokemon-home-pokedex/main/sprites/marshadow.png", 2)</f>
        <v>0</v>
      </c>
      <c r="F110" s="40">
        <f>IMAGE("https://raw.githubusercontent.com/stautonico/pokemon-home-pokedex/main/sprites/poipole.png", 2)</f>
        <v>0</v>
      </c>
      <c r="G110" s="40">
        <f>IMAGE("https://raw.githubusercontent.com/stautonico/pokemon-home-pokedex/main/sprites/naganadel.png", 2)</f>
        <v>0</v>
      </c>
      <c r="I110" s="40">
        <f>IMAGE("https://raw.githubusercontent.com/stautonico/pokemon-home-pokedex/main/sprites/gossifleur.png", 2)</f>
        <v>0</v>
      </c>
      <c r="J110" s="40">
        <f>IMAGE("https://raw.githubusercontent.com/stautonico/pokemon-home-pokedex/main/sprites/eldegoss.png", 2)</f>
        <v>0</v>
      </c>
      <c r="K110" s="40">
        <f>IMAGE("https://raw.githubusercontent.com/stautonico/pokemon-home-pokedex/main/sprites/wooloo.png", 2)</f>
        <v>0</v>
      </c>
      <c r="L110" s="40">
        <f>IMAGE("https://raw.githubusercontent.com/stautonico/pokemon-home-pokedex/main/sprites/dubwool.png", 2)</f>
        <v>0</v>
      </c>
      <c r="M110" s="40">
        <f>IMAGE("https://raw.githubusercontent.com/stautonico/pokemon-home-pokedex/main/sprites/chewtle.png", 2)</f>
        <v>0</v>
      </c>
      <c r="N110" s="40">
        <f>IMAGE("https://raw.githubusercontent.com/stautonico/pokemon-home-pokedex/main/sprites/drednaw.png", 2)</f>
        <v>0</v>
      </c>
    </row>
    <row r="111" spans="2:14" ht="72" customHeight="1">
      <c r="B111" s="40">
        <f>IMAGE("https://raw.githubusercontent.com/stautonico/pokemon-home-pokedex/main/sprites/stakataka.png", 2)</f>
        <v>0</v>
      </c>
      <c r="C111" s="40">
        <f>IMAGE("https://raw.githubusercontent.com/stautonico/pokemon-home-pokedex/main/sprites/blacephalon.png", 2)</f>
        <v>0</v>
      </c>
      <c r="D111" s="40">
        <f>IMAGE("https://raw.githubusercontent.com/stautonico/pokemon-home-pokedex/main/sprites/zeraora.png", 2)</f>
        <v>0</v>
      </c>
      <c r="E111" s="40">
        <f>IMAGE("https://raw.githubusercontent.com/stautonico/pokemon-home-pokedex/main/sprites/meltan.png", 2)</f>
        <v>0</v>
      </c>
      <c r="F111" s="40">
        <f>IMAGE("https://raw.githubusercontent.com/stautonico/pokemon-home-pokedex/main/sprites/melmetal.png", 2)</f>
        <v>0</v>
      </c>
      <c r="G111" s="40">
        <f>IMAGE("https://raw.githubusercontent.com/stautonico/pokemon-home-pokedex/main/sprites/grookey.png", 2)</f>
        <v>0</v>
      </c>
      <c r="I111" s="40">
        <f>IMAGE("https://raw.githubusercontent.com/stautonico/pokemon-home-pokedex/main/sprites/yamper.png", 2)</f>
        <v>0</v>
      </c>
      <c r="J111" s="40">
        <f>IMAGE("https://raw.githubusercontent.com/stautonico/pokemon-home-pokedex/main/sprites/boltund.png", 2)</f>
        <v>0</v>
      </c>
      <c r="K111" s="40">
        <f>IMAGE("https://raw.githubusercontent.com/stautonico/pokemon-home-pokedex/main/sprites/rolycoly.png", 2)</f>
        <v>0</v>
      </c>
      <c r="L111" s="40">
        <f>IMAGE("https://raw.githubusercontent.com/stautonico/pokemon-home-pokedex/main/sprites/carkol.png", 2)</f>
        <v>0</v>
      </c>
      <c r="M111" s="40">
        <f>IMAGE("https://raw.githubusercontent.com/stautonico/pokemon-home-pokedex/main/sprites/coalossal.png", 2)</f>
        <v>0</v>
      </c>
      <c r="N111" s="40">
        <f>IMAGE("https://raw.githubusercontent.com/stautonico/pokemon-home-pokedex/main/sprites/applin.png", 2)</f>
        <v>0</v>
      </c>
    </row>
    <row r="114" spans="2:14">
      <c r="B114" s="39" t="s">
        <v>1348</v>
      </c>
      <c r="I114" s="39" t="s">
        <v>1349</v>
      </c>
    </row>
    <row r="115" spans="2:14" ht="72" customHeight="1">
      <c r="B115" s="40">
        <f>IMAGE("https://raw.githubusercontent.com/stautonico/pokemon-home-pokedex/main/sprites/flapple.png", 2)</f>
        <v>0</v>
      </c>
      <c r="C115" s="40">
        <f>IMAGE("https://raw.githubusercontent.com/stautonico/pokemon-home-pokedex/main/sprites/appletun.png", 2)</f>
        <v>0</v>
      </c>
      <c r="D115" s="40">
        <f>IMAGE("https://raw.githubusercontent.com/stautonico/pokemon-home-pokedex/main/sprites/silicobra.png", 2)</f>
        <v>0</v>
      </c>
      <c r="E115" s="40">
        <f>IMAGE("https://raw.githubusercontent.com/stautonico/pokemon-home-pokedex/main/sprites/sandaconda.png", 2)</f>
        <v>0</v>
      </c>
      <c r="F115" s="40">
        <f>IMAGE("https://raw.githubusercontent.com/stautonico/pokemon-home-pokedex/main/sprites/cramorant.png", 2)</f>
        <v>0</v>
      </c>
      <c r="G115" s="40">
        <f>IMAGE("https://raw.githubusercontent.com/stautonico/pokemon-home-pokedex/main/sprites/arrokuda.png", 2)</f>
        <v>0</v>
      </c>
      <c r="I115" s="40">
        <f>IMAGE("https://raw.githubusercontent.com/stautonico/pokemon-home-pokedex/main/sprites/pincurchin.png", 2)</f>
        <v>0</v>
      </c>
      <c r="J115" s="40">
        <f>IMAGE("https://raw.githubusercontent.com/stautonico/pokemon-home-pokedex/main/sprites/snom.png", 2)</f>
        <v>0</v>
      </c>
      <c r="K115" s="40">
        <f>IMAGE("https://raw.githubusercontent.com/stautonico/pokemon-home-pokedex/main/sprites/frosmoth.png", 2)</f>
        <v>0</v>
      </c>
      <c r="L115" s="40">
        <f>IMAGE("https://raw.githubusercontent.com/stautonico/pokemon-home-pokedex/main/sprites/stonjourner.png", 2)</f>
        <v>0</v>
      </c>
      <c r="M115" s="40">
        <f>IMAGE("https://raw.githubusercontent.com/stautonico/pokemon-home-pokedex/main/sprites/eiscue.png", 2)</f>
        <v>0</v>
      </c>
      <c r="N115" s="40">
        <f>IMAGE("https://raw.githubusercontent.com/stautonico/pokemon-home-pokedex/main/sprites/indeedee.png", 2)</f>
        <v>0</v>
      </c>
    </row>
    <row r="116" spans="2:14" ht="72" customHeight="1">
      <c r="B116" s="40">
        <f>IMAGE("https://raw.githubusercontent.com/stautonico/pokemon-home-pokedex/main/sprites/barraskewda.png", 2)</f>
        <v>0</v>
      </c>
      <c r="C116" s="40">
        <f>IMAGE("https://raw.githubusercontent.com/stautonico/pokemon-home-pokedex/main/sprites/toxel.png", 2)</f>
        <v>0</v>
      </c>
      <c r="D116" s="40">
        <f>IMAGE("https://raw.githubusercontent.com/stautonico/pokemon-home-pokedex/main/sprites/toxtricity.png", 2)</f>
        <v>0</v>
      </c>
      <c r="E116" s="40">
        <f>IMAGE("https://raw.githubusercontent.com/stautonico/pokemon-home-pokedex/main/sprites/sizzlipede.png", 2)</f>
        <v>0</v>
      </c>
      <c r="F116" s="40">
        <f>IMAGE("https://raw.githubusercontent.com/stautonico/pokemon-home-pokedex/main/sprites/centiskorch.png", 2)</f>
        <v>0</v>
      </c>
      <c r="G116" s="40">
        <f>IMAGE("https://raw.githubusercontent.com/stautonico/pokemon-home-pokedex/main/sprites/clobbopus.png", 2)</f>
        <v>0</v>
      </c>
      <c r="I116" s="40">
        <f>IMAGE("https://raw.githubusercontent.com/stautonico/pokemon-home-pokedex/main/sprites/morpeko.png", 2)</f>
        <v>0</v>
      </c>
      <c r="J116" s="40">
        <f>IMAGE("https://raw.githubusercontent.com/stautonico/pokemon-home-pokedex/main/sprites/cufant.png", 2)</f>
        <v>0</v>
      </c>
      <c r="K116" s="40">
        <f>IMAGE("https://raw.githubusercontent.com/stautonico/pokemon-home-pokedex/main/sprites/copperajah.png", 2)</f>
        <v>0</v>
      </c>
      <c r="L116" s="40">
        <f>IMAGE("https://raw.githubusercontent.com/stautonico/pokemon-home-pokedex/main/sprites/dracozolt.png", 2)</f>
        <v>0</v>
      </c>
      <c r="M116" s="40">
        <f>IMAGE("https://raw.githubusercontent.com/stautonico/pokemon-home-pokedex/main/sprites/arctozolt.png", 2)</f>
        <v>0</v>
      </c>
      <c r="N116" s="40">
        <f>IMAGE("https://raw.githubusercontent.com/stautonico/pokemon-home-pokedex/main/sprites/dracovish.png", 2)</f>
        <v>0</v>
      </c>
    </row>
    <row r="117" spans="2:14" ht="72" customHeight="1">
      <c r="B117" s="40">
        <f>IMAGE("https://raw.githubusercontent.com/stautonico/pokemon-home-pokedex/main/sprites/grapploct.png", 2)</f>
        <v>0</v>
      </c>
      <c r="C117" s="40">
        <f>IMAGE("https://raw.githubusercontent.com/stautonico/pokemon-home-pokedex/main/sprites/sinistea.png", 2)</f>
        <v>0</v>
      </c>
      <c r="D117" s="40">
        <f>IMAGE("https://raw.githubusercontent.com/stautonico/pokemon-home-pokedex/main/sprites/polteageist.png", 2)</f>
        <v>0</v>
      </c>
      <c r="E117" s="40">
        <f>IMAGE("https://raw.githubusercontent.com/stautonico/pokemon-home-pokedex/main/sprites/hatenna.png", 2)</f>
        <v>0</v>
      </c>
      <c r="F117" s="40">
        <f>IMAGE("https://raw.githubusercontent.com/stautonico/pokemon-home-pokedex/main/sprites/hattrem.png", 2)</f>
        <v>0</v>
      </c>
      <c r="G117" s="40">
        <f>IMAGE("https://raw.githubusercontent.com/stautonico/pokemon-home-pokedex/main/sprites/hatterene.png", 2)</f>
        <v>0</v>
      </c>
      <c r="I117" s="40">
        <f>IMAGE("https://raw.githubusercontent.com/stautonico/pokemon-home-pokedex/main/sprites/arctovish.png", 2)</f>
        <v>0</v>
      </c>
      <c r="J117" s="40">
        <f>IMAGE("https://raw.githubusercontent.com/stautonico/pokemon-home-pokedex/main/sprites/duraludon.png", 2)</f>
        <v>0</v>
      </c>
      <c r="K117" s="40">
        <f>IMAGE("https://raw.githubusercontent.com/stautonico/pokemon-home-pokedex/main/sprites/dreepy.png", 2)</f>
        <v>0</v>
      </c>
      <c r="L117" s="40">
        <f>IMAGE("https://raw.githubusercontent.com/stautonico/pokemon-home-pokedex/main/sprites/drakloak.png", 2)</f>
        <v>0</v>
      </c>
      <c r="M117" s="40">
        <f>IMAGE("https://raw.githubusercontent.com/stautonico/pokemon-home-pokedex/main/sprites/dragapult.png", 2)</f>
        <v>0</v>
      </c>
      <c r="N117" s="40">
        <f>IMAGE("https://raw.githubusercontent.com/stautonico/pokemon-home-pokedex/main/sprites/zacian.png", 2)</f>
        <v>0</v>
      </c>
    </row>
    <row r="118" spans="2:14" ht="72" customHeight="1">
      <c r="B118" s="40">
        <f>IMAGE("https://raw.githubusercontent.com/stautonico/pokemon-home-pokedex/main/sprites/impidimp.png", 2)</f>
        <v>0</v>
      </c>
      <c r="C118" s="40">
        <f>IMAGE("https://raw.githubusercontent.com/stautonico/pokemon-home-pokedex/main/sprites/morgrem.png", 2)</f>
        <v>0</v>
      </c>
      <c r="D118" s="40">
        <f>IMAGE("https://raw.githubusercontent.com/stautonico/pokemon-home-pokedex/main/sprites/grimmsnarl.png", 2)</f>
        <v>0</v>
      </c>
      <c r="E118" s="40">
        <f>IMAGE("https://raw.githubusercontent.com/stautonico/pokemon-home-pokedex/main/sprites/obstagoon.png", 2)</f>
        <v>0</v>
      </c>
      <c r="F118" s="40">
        <f>IMAGE("https://raw.githubusercontent.com/stautonico/pokemon-home-pokedex/main/sprites/perrserker.png", 2)</f>
        <v>0</v>
      </c>
      <c r="G118" s="40">
        <f>IMAGE("https://raw.githubusercontent.com/stautonico/pokemon-home-pokedex/main/sprites/cursola.png", 2)</f>
        <v>0</v>
      </c>
      <c r="I118" s="40">
        <f>IMAGE("https://raw.githubusercontent.com/stautonico/pokemon-home-pokedex/main/sprites/zamazenta.png", 2)</f>
        <v>0</v>
      </c>
      <c r="J118" s="40">
        <f>IMAGE("https://raw.githubusercontent.com/stautonico/pokemon-home-pokedex/main/sprites/eternatus.png", 2)</f>
        <v>0</v>
      </c>
      <c r="K118" s="40">
        <f>IMAGE("https://raw.githubusercontent.com/stautonico/pokemon-home-pokedex/main/sprites/kubfu.png", 2)</f>
        <v>0</v>
      </c>
      <c r="L118" s="40">
        <f>IMAGE("https://raw.githubusercontent.com/stautonico/pokemon-home-pokedex/main/sprites/urshifu.png", 2)</f>
        <v>0</v>
      </c>
      <c r="M118" s="40">
        <f>IMAGE("https://raw.githubusercontent.com/stautonico/pokemon-home-pokedex/main/sprites/zarude.png", 2)</f>
        <v>0</v>
      </c>
      <c r="N118" s="40">
        <f>IMAGE("https://raw.githubusercontent.com/stautonico/pokemon-home-pokedex/main/sprites/regieleki.png", 2)</f>
        <v>0</v>
      </c>
    </row>
    <row r="119" spans="2:14" ht="72" customHeight="1">
      <c r="B119" s="40">
        <f>IMAGE("https://raw.githubusercontent.com/stautonico/pokemon-home-pokedex/main/sprites/sirfetchd.png", 2)</f>
        <v>0</v>
      </c>
      <c r="C119" s="40">
        <f>IMAGE("https://raw.githubusercontent.com/stautonico/pokemon-home-pokedex/main/sprites/mrrime.png", 2)</f>
        <v>0</v>
      </c>
      <c r="D119" s="40">
        <f>IMAGE("https://raw.githubusercontent.com/stautonico/pokemon-home-pokedex/main/sprites/runerigus.png", 2)</f>
        <v>0</v>
      </c>
      <c r="E119" s="40">
        <f>IMAGE("https://raw.githubusercontent.com/stautonico/pokemon-home-pokedex/main/sprites/milcery.png", 2)</f>
        <v>0</v>
      </c>
      <c r="F119" s="40">
        <f>IMAGE("https://raw.githubusercontent.com/stautonico/pokemon-home-pokedex/main/sprites/alcremie.png", 2)</f>
        <v>0</v>
      </c>
      <c r="G119" s="40">
        <f>IMAGE("https://raw.githubusercontent.com/stautonico/pokemon-home-pokedex/main/sprites/falinks.png", 2)</f>
        <v>0</v>
      </c>
      <c r="I119" s="40">
        <f>IMAGE("https://raw.githubusercontent.com/stautonico/pokemon-home-pokedex/main/sprites/regidrago.png", 2)</f>
        <v>0</v>
      </c>
      <c r="J119" s="40">
        <f>IMAGE("https://raw.githubusercontent.com/stautonico/pokemon-home-pokedex/main/sprites/glastrier.png", 2)</f>
        <v>0</v>
      </c>
      <c r="K119" s="40">
        <f>IMAGE("https://raw.githubusercontent.com/stautonico/pokemon-home-pokedex/main/sprites/spectrier.png", 2)</f>
        <v>0</v>
      </c>
      <c r="L119" s="40">
        <f>IMAGE("https://raw.githubusercontent.com/stautonico/pokemon-home-pokedex/main/sprites/calyrex.png", 2)</f>
        <v>0</v>
      </c>
      <c r="M119" s="40">
        <f>IMAGE("https://raw.githubusercontent.com/stautonico/pokemon-home-pokedex/main/sprites/wyrdeer.png", 2)</f>
        <v>0</v>
      </c>
      <c r="N119" s="40">
        <f>IMAGE("https://raw.githubusercontent.com/stautonico/pokemon-home-pokedex/main/sprites/kleavor.png", 2)</f>
        <v>0</v>
      </c>
    </row>
    <row r="122" spans="2:14">
      <c r="B122" s="39" t="s">
        <v>1350</v>
      </c>
      <c r="I122" s="39" t="s">
        <v>1351</v>
      </c>
    </row>
    <row r="123" spans="2:14" ht="72" customHeight="1">
      <c r="B123" s="40">
        <f>IMAGE("https://raw.githubusercontent.com/stautonico/pokemon-home-pokedex/main/sprites/ursaluna.png", 2)</f>
        <v>0</v>
      </c>
      <c r="C123" s="40">
        <f>IMAGE("https://raw.githubusercontent.com/stautonico/pokemon-home-pokedex/main/sprites/basculegion.png", 2)</f>
        <v>0</v>
      </c>
      <c r="D123" s="40">
        <f>IMAGE("https://raw.githubusercontent.com/stautonico/pokemon-home-pokedex/main/sprites/sneasler.png", 2)</f>
        <v>0</v>
      </c>
      <c r="E123" s="40">
        <f>IMAGE("https://raw.githubusercontent.com/stautonico/pokemon-home-pokedex/main/sprites/overqwil.png", 2)</f>
        <v>0</v>
      </c>
      <c r="F123" s="40">
        <f>IMAGE("https://raw.githubusercontent.com/stautonico/pokemon-home-pokedex/main/sprites/enamorus.png", 2)</f>
        <v>0</v>
      </c>
      <c r="G123" s="40"/>
      <c r="I123" s="40">
        <f>IMAGE("https://raw.githubusercontent.com/stautonico/pokemon-home-pokedex/main/sprites/venusaur-f.png", 2)</f>
        <v>0</v>
      </c>
      <c r="J123" s="40">
        <f>IMAGE("https://raw.githubusercontent.com/stautonico/pokemon-home-pokedex/main/sprites/butterfree-f.png", 2)</f>
        <v>0</v>
      </c>
      <c r="K123" s="40">
        <f>IMAGE("https://raw.githubusercontent.com/stautonico/pokemon-home-pokedex/main/sprites/rattata-f.png", 2)</f>
        <v>0</v>
      </c>
      <c r="L123" s="40">
        <f>IMAGE("https://raw.githubusercontent.com/stautonico/pokemon-home-pokedex/main/sprites/raticate-f.png", 2)</f>
        <v>0</v>
      </c>
      <c r="M123" s="40">
        <f>IMAGE("https://raw.githubusercontent.com/stautonico/pokemon-home-pokedex/main/sprites/pikachu-f.png", 2)</f>
        <v>0</v>
      </c>
      <c r="N123" s="40">
        <f>IMAGE("https://raw.githubusercontent.com/stautonico/pokemon-home-pokedex/main/sprites/raichu-f.png", 2)</f>
        <v>0</v>
      </c>
    </row>
    <row r="124" spans="2:14" ht="72" customHeight="1">
      <c r="B124" s="40"/>
      <c r="C124" s="40"/>
      <c r="D124" s="40"/>
      <c r="E124" s="40"/>
      <c r="F124" s="40"/>
      <c r="G124" s="40"/>
      <c r="I124" s="40">
        <f>IMAGE("https://raw.githubusercontent.com/stautonico/pokemon-home-pokedex/main/sprites/zubat-f.png", 2)</f>
        <v>0</v>
      </c>
      <c r="J124" s="40">
        <f>IMAGE("https://raw.githubusercontent.com/stautonico/pokemon-home-pokedex/main/sprites/golbat-f.png", 2)</f>
        <v>0</v>
      </c>
      <c r="K124" s="40">
        <f>IMAGE("https://raw.githubusercontent.com/stautonico/pokemon-home-pokedex/main/sprites/gloom-f.png", 2)</f>
        <v>0</v>
      </c>
      <c r="L124" s="40">
        <f>IMAGE("https://raw.githubusercontent.com/stautonico/pokemon-home-pokedex/main/sprites/vileplume-f.png", 2)</f>
        <v>0</v>
      </c>
      <c r="M124" s="40">
        <f>IMAGE("https://raw.githubusercontent.com/stautonico/pokemon-home-pokedex/main/sprites/kadabra-f.png", 2)</f>
        <v>0</v>
      </c>
      <c r="N124" s="40">
        <f>IMAGE("https://raw.githubusercontent.com/stautonico/pokemon-home-pokedex/main/sprites/alakazam-f.png", 2)</f>
        <v>0</v>
      </c>
    </row>
    <row r="125" spans="2:14" ht="72" customHeight="1">
      <c r="B125" s="40"/>
      <c r="C125" s="40"/>
      <c r="D125" s="40"/>
      <c r="E125" s="40"/>
      <c r="F125" s="40"/>
      <c r="G125" s="40"/>
      <c r="I125" s="40">
        <f>IMAGE("https://raw.githubusercontent.com/stautonico/pokemon-home-pokedex/main/sprites/doduo-f.png", 2)</f>
        <v>0</v>
      </c>
      <c r="J125" s="40">
        <f>IMAGE("https://raw.githubusercontent.com/stautonico/pokemon-home-pokedex/main/sprites/dodrio-f.png", 2)</f>
        <v>0</v>
      </c>
      <c r="K125" s="40">
        <f>IMAGE("https://raw.githubusercontent.com/stautonico/pokemon-home-pokedex/main/sprites/hypno-f.png", 2)</f>
        <v>0</v>
      </c>
      <c r="L125" s="40">
        <f>IMAGE("https://raw.githubusercontent.com/stautonico/pokemon-home-pokedex/main/sprites/rhyhorn-f.png", 2)</f>
        <v>0</v>
      </c>
      <c r="M125" s="40">
        <f>IMAGE("https://raw.githubusercontent.com/stautonico/pokemon-home-pokedex/main/sprites/rhydon-f.png", 2)</f>
        <v>0</v>
      </c>
      <c r="N125" s="40">
        <f>IMAGE("https://raw.githubusercontent.com/stautonico/pokemon-home-pokedex/main/sprites/goldeen-f.png", 2)</f>
        <v>0</v>
      </c>
    </row>
    <row r="126" spans="2:14" ht="72" customHeight="1">
      <c r="B126" s="40"/>
      <c r="C126" s="40"/>
      <c r="D126" s="40"/>
      <c r="E126" s="40"/>
      <c r="F126" s="40"/>
      <c r="G126" s="40"/>
      <c r="I126" s="40">
        <f>IMAGE("https://raw.githubusercontent.com/stautonico/pokemon-home-pokedex/main/sprites/seaking-f.png", 2)</f>
        <v>0</v>
      </c>
      <c r="J126" s="40">
        <f>IMAGE("https://raw.githubusercontent.com/stautonico/pokemon-home-pokedex/main/sprites/scyther-f.png", 2)</f>
        <v>0</v>
      </c>
      <c r="K126" s="40">
        <f>IMAGE("https://raw.githubusercontent.com/stautonico/pokemon-home-pokedex/main/sprites/magikarp-f.png", 2)</f>
        <v>0</v>
      </c>
      <c r="L126" s="40">
        <f>IMAGE("https://raw.githubusercontent.com/stautonico/pokemon-home-pokedex/main/sprites/gyarados-f.png", 2)</f>
        <v>0</v>
      </c>
      <c r="M126" s="40">
        <f>IMAGE("https://raw.githubusercontent.com/stautonico/pokemon-home-pokedex/main/sprites/eevee-f.png", 2)</f>
        <v>0</v>
      </c>
      <c r="N126" s="40">
        <f>IMAGE("https://raw.githubusercontent.com/stautonico/pokemon-home-pokedex/main/sprites/meganium-f.png", 2)</f>
        <v>0</v>
      </c>
    </row>
    <row r="127" spans="2:14" ht="72" customHeight="1">
      <c r="B127" s="40"/>
      <c r="C127" s="40"/>
      <c r="D127" s="40"/>
      <c r="E127" s="40"/>
      <c r="F127" s="40"/>
      <c r="G127" s="40"/>
      <c r="I127" s="40">
        <f>IMAGE("https://raw.githubusercontent.com/stautonico/pokemon-home-pokedex/main/sprites/ledyba-f.png", 2)</f>
        <v>0</v>
      </c>
      <c r="J127" s="40">
        <f>IMAGE("https://raw.githubusercontent.com/stautonico/pokemon-home-pokedex/main/sprites/ledian-f.png", 2)</f>
        <v>0</v>
      </c>
      <c r="K127" s="40">
        <f>IMAGE("https://raw.githubusercontent.com/stautonico/pokemon-home-pokedex/main/sprites/xatu-f.png", 2)</f>
        <v>0</v>
      </c>
      <c r="L127" s="40">
        <f>IMAGE("https://raw.githubusercontent.com/stautonico/pokemon-home-pokedex/main/sprites/sudowoodo-f.png", 2)</f>
        <v>0</v>
      </c>
      <c r="M127" s="40">
        <f>IMAGE("https://raw.githubusercontent.com/stautonico/pokemon-home-pokedex/main/sprites/politoed-f.png", 2)</f>
        <v>0</v>
      </c>
      <c r="N127" s="40">
        <f>IMAGE("https://raw.githubusercontent.com/stautonico/pokemon-home-pokedex/main/sprites/aipom-f.png", 2)</f>
        <v>0</v>
      </c>
    </row>
    <row r="130" spans="2:14">
      <c r="B130" s="39" t="s">
        <v>1352</v>
      </c>
      <c r="I130" s="39" t="s">
        <v>1353</v>
      </c>
    </row>
    <row r="131" spans="2:14" ht="72" customHeight="1">
      <c r="B131" s="40">
        <f>IMAGE("https://raw.githubusercontent.com/stautonico/pokemon-home-pokedex/main/sprites/wooper-f.png", 2)</f>
        <v>0</v>
      </c>
      <c r="C131" s="40">
        <f>IMAGE("https://raw.githubusercontent.com/stautonico/pokemon-home-pokedex/main/sprites/quagsire-f.png", 2)</f>
        <v>0</v>
      </c>
      <c r="D131" s="40">
        <f>IMAGE("https://raw.githubusercontent.com/stautonico/pokemon-home-pokedex/main/sprites/murkrow-f.png", 2)</f>
        <v>0</v>
      </c>
      <c r="E131" s="40">
        <f>IMAGE("https://raw.githubusercontent.com/stautonico/pokemon-home-pokedex/main/sprites/wobbuffet-f.png", 2)</f>
        <v>0</v>
      </c>
      <c r="F131" s="40">
        <f>IMAGE("https://raw.githubusercontent.com/stautonico/pokemon-home-pokedex/main/sprites/girafarig-f.png", 2)</f>
        <v>0</v>
      </c>
      <c r="G131" s="40">
        <f>IMAGE("https://raw.githubusercontent.com/stautonico/pokemon-home-pokedex/main/sprites/gligar-f.png", 2)</f>
        <v>0</v>
      </c>
      <c r="I131" s="40">
        <f>IMAGE("https://raw.githubusercontent.com/stautonico/pokemon-home-pokedex/main/sprites/camerupt-f.png", 2)</f>
        <v>0</v>
      </c>
      <c r="J131" s="40">
        <f>IMAGE("https://raw.githubusercontent.com/stautonico/pokemon-home-pokedex/main/sprites/cacturne-f.png", 2)</f>
        <v>0</v>
      </c>
      <c r="K131" s="40">
        <f>IMAGE("https://raw.githubusercontent.com/stautonico/pokemon-home-pokedex/main/sprites/milotic-f.png", 2)</f>
        <v>0</v>
      </c>
      <c r="L131" s="40">
        <f>IMAGE("https://raw.githubusercontent.com/stautonico/pokemon-home-pokedex/main/sprites/relicanth-f.png", 2)</f>
        <v>0</v>
      </c>
      <c r="M131" s="40">
        <f>IMAGE("https://raw.githubusercontent.com/stautonico/pokemon-home-pokedex/main/sprites/starly-f.png", 2)</f>
        <v>0</v>
      </c>
      <c r="N131" s="40">
        <f>IMAGE("https://raw.githubusercontent.com/stautonico/pokemon-home-pokedex/main/sprites/staravia-f.png", 2)</f>
        <v>0</v>
      </c>
    </row>
    <row r="132" spans="2:14" ht="72" customHeight="1">
      <c r="B132" s="40">
        <f>IMAGE("https://raw.githubusercontent.com/stautonico/pokemon-home-pokedex/main/sprites/steelix-f.png", 2)</f>
        <v>0</v>
      </c>
      <c r="C132" s="40">
        <f>IMAGE("https://raw.githubusercontent.com/stautonico/pokemon-home-pokedex/main/sprites/scizor-f.png", 2)</f>
        <v>0</v>
      </c>
      <c r="D132" s="40">
        <f>IMAGE("https://raw.githubusercontent.com/stautonico/pokemon-home-pokedex/main/sprites/heracross-f.png", 2)</f>
        <v>0</v>
      </c>
      <c r="E132" s="40">
        <f>IMAGE("https://raw.githubusercontent.com/stautonico/pokemon-home-pokedex/main/sprites/sneasel-f.png", 2)</f>
        <v>0</v>
      </c>
      <c r="F132" s="40">
        <f>IMAGE("https://raw.githubusercontent.com/stautonico/pokemon-home-pokedex/main/sprites/sneasel-hisui-f.png", 2)</f>
        <v>0</v>
      </c>
      <c r="G132" s="40">
        <f>IMAGE("https://raw.githubusercontent.com/stautonico/pokemon-home-pokedex/main/sprites/ursaring-f.png", 2)</f>
        <v>0</v>
      </c>
      <c r="I132" s="40">
        <f>IMAGE("https://raw.githubusercontent.com/stautonico/pokemon-home-pokedex/main/sprites/staraptor-f.png", 2)</f>
        <v>0</v>
      </c>
      <c r="J132" s="40">
        <f>IMAGE("https://raw.githubusercontent.com/stautonico/pokemon-home-pokedex/main/sprites/bidoof-f.png", 2)</f>
        <v>0</v>
      </c>
      <c r="K132" s="40">
        <f>IMAGE("https://raw.githubusercontent.com/stautonico/pokemon-home-pokedex/main/sprites/bibarel-f.png", 2)</f>
        <v>0</v>
      </c>
      <c r="L132" s="40">
        <f>IMAGE("https://raw.githubusercontent.com/stautonico/pokemon-home-pokedex/main/sprites/kricketot-f.png", 2)</f>
        <v>0</v>
      </c>
      <c r="M132" s="40">
        <f>IMAGE("https://raw.githubusercontent.com/stautonico/pokemon-home-pokedex/main/sprites/kricketune-f.png", 2)</f>
        <v>0</v>
      </c>
      <c r="N132" s="40">
        <f>IMAGE("https://raw.githubusercontent.com/stautonico/pokemon-home-pokedex/main/sprites/shinx-f.png", 2)</f>
        <v>0</v>
      </c>
    </row>
    <row r="133" spans="2:14" ht="72" customHeight="1">
      <c r="B133" s="40">
        <f>IMAGE("https://raw.githubusercontent.com/stautonico/pokemon-home-pokedex/main/sprites/piloswine-f.png", 2)</f>
        <v>0</v>
      </c>
      <c r="C133" s="40">
        <f>IMAGE("https://raw.githubusercontent.com/stautonico/pokemon-home-pokedex/main/sprites/octillery-f.png", 2)</f>
        <v>0</v>
      </c>
      <c r="D133" s="40">
        <f>IMAGE("https://raw.githubusercontent.com/stautonico/pokemon-home-pokedex/main/sprites/houndoom-f.png", 2)</f>
        <v>0</v>
      </c>
      <c r="E133" s="40">
        <f>IMAGE("https://raw.githubusercontent.com/stautonico/pokemon-home-pokedex/main/sprites/donphan-f.png", 2)</f>
        <v>0</v>
      </c>
      <c r="F133" s="40">
        <f>IMAGE("https://raw.githubusercontent.com/stautonico/pokemon-home-pokedex/main/sprites/torchic-f.png", 2)</f>
        <v>0</v>
      </c>
      <c r="G133" s="40">
        <f>IMAGE("https://raw.githubusercontent.com/stautonico/pokemon-home-pokedex/main/sprites/combusken-f.png", 2)</f>
        <v>0</v>
      </c>
      <c r="I133" s="40">
        <f>IMAGE("https://raw.githubusercontent.com/stautonico/pokemon-home-pokedex/main/sprites/luxio-f.png", 2)</f>
        <v>0</v>
      </c>
      <c r="J133" s="40">
        <f>IMAGE("https://raw.githubusercontent.com/stautonico/pokemon-home-pokedex/main/sprites/luxray-f.png", 2)</f>
        <v>0</v>
      </c>
      <c r="K133" s="40">
        <f>IMAGE("https://raw.githubusercontent.com/stautonico/pokemon-home-pokedex/main/sprites/roserade-f.png", 2)</f>
        <v>0</v>
      </c>
      <c r="L133" s="40">
        <f>IMAGE("https://raw.githubusercontent.com/stautonico/pokemon-home-pokedex/main/sprites/combee-f.png", 2)</f>
        <v>0</v>
      </c>
      <c r="M133" s="40">
        <f>IMAGE("https://raw.githubusercontent.com/stautonico/pokemon-home-pokedex/main/sprites/pachirisu-f.png", 2)</f>
        <v>0</v>
      </c>
      <c r="N133" s="40">
        <f>IMAGE("https://raw.githubusercontent.com/stautonico/pokemon-home-pokedex/main/sprites/buizel-f.png", 2)</f>
        <v>0</v>
      </c>
    </row>
    <row r="134" spans="2:14" ht="72" customHeight="1">
      <c r="B134" s="40">
        <f>IMAGE("https://raw.githubusercontent.com/stautonico/pokemon-home-pokedex/main/sprites/blaziken-f.png", 2)</f>
        <v>0</v>
      </c>
      <c r="C134" s="40">
        <f>IMAGE("https://raw.githubusercontent.com/stautonico/pokemon-home-pokedex/main/sprites/beautifly-f.png", 2)</f>
        <v>0</v>
      </c>
      <c r="D134" s="40">
        <f>IMAGE("https://raw.githubusercontent.com/stautonico/pokemon-home-pokedex/main/sprites/dustox-f.png", 2)</f>
        <v>0</v>
      </c>
      <c r="E134" s="40">
        <f>IMAGE("https://raw.githubusercontent.com/stautonico/pokemon-home-pokedex/main/sprites/ludicolo-f.png", 2)</f>
        <v>0</v>
      </c>
      <c r="F134" s="40">
        <f>IMAGE("https://raw.githubusercontent.com/stautonico/pokemon-home-pokedex/main/sprites/nuzleaf-f.png", 2)</f>
        <v>0</v>
      </c>
      <c r="G134" s="40">
        <f>IMAGE("https://raw.githubusercontent.com/stautonico/pokemon-home-pokedex/main/sprites/shiftry-f.png", 2)</f>
        <v>0</v>
      </c>
      <c r="I134" s="40">
        <f>IMAGE("https://raw.githubusercontent.com/stautonico/pokemon-home-pokedex/main/sprites/floatzel-f.png", 2)</f>
        <v>0</v>
      </c>
      <c r="J134" s="40">
        <f>IMAGE("https://raw.githubusercontent.com/stautonico/pokemon-home-pokedex/main/sprites/ambipom-f.png", 2)</f>
        <v>0</v>
      </c>
      <c r="K134" s="40">
        <f>IMAGE("https://raw.githubusercontent.com/stautonico/pokemon-home-pokedex/main/sprites/gible-f.png", 2)</f>
        <v>0</v>
      </c>
      <c r="L134" s="40">
        <f>IMAGE("https://raw.githubusercontent.com/stautonico/pokemon-home-pokedex/main/sprites/gabite-f.png", 2)</f>
        <v>0</v>
      </c>
      <c r="M134" s="40">
        <f>IMAGE("https://raw.githubusercontent.com/stautonico/pokemon-home-pokedex/main/sprites/garchomp-f.png", 2)</f>
        <v>0</v>
      </c>
      <c r="N134" s="40">
        <f>IMAGE("https://raw.githubusercontent.com/stautonico/pokemon-home-pokedex/main/sprites/hippopotas-f.png", 2)</f>
        <v>0</v>
      </c>
    </row>
    <row r="135" spans="2:14" ht="72" customHeight="1">
      <c r="B135" s="40">
        <f>IMAGE("https://raw.githubusercontent.com/stautonico/pokemon-home-pokedex/main/sprites/meditite-f.png", 2)</f>
        <v>0</v>
      </c>
      <c r="C135" s="40">
        <f>IMAGE("https://raw.githubusercontent.com/stautonico/pokemon-home-pokedex/main/sprites/medicham-f.png", 2)</f>
        <v>0</v>
      </c>
      <c r="D135" s="40">
        <f>IMAGE("https://raw.githubusercontent.com/stautonico/pokemon-home-pokedex/main/sprites/roselia-f.png", 2)</f>
        <v>0</v>
      </c>
      <c r="E135" s="40">
        <f>IMAGE("https://raw.githubusercontent.com/stautonico/pokemon-home-pokedex/main/sprites/gulpin-f.png", 2)</f>
        <v>0</v>
      </c>
      <c r="F135" s="40">
        <f>IMAGE("https://raw.githubusercontent.com/stautonico/pokemon-home-pokedex/main/sprites/swalot-f.png", 2)</f>
        <v>0</v>
      </c>
      <c r="G135" s="40">
        <f>IMAGE("https://raw.githubusercontent.com/stautonico/pokemon-home-pokedex/main/sprites/numel-f.png", 2)</f>
        <v>0</v>
      </c>
      <c r="I135" s="40">
        <f>IMAGE("https://raw.githubusercontent.com/stautonico/pokemon-home-pokedex/main/sprites/hippowdon-f.png", 2)</f>
        <v>0</v>
      </c>
      <c r="J135" s="40">
        <f>IMAGE("https://raw.githubusercontent.com/stautonico/pokemon-home-pokedex/main/sprites/croagunk-f.png", 2)</f>
        <v>0</v>
      </c>
      <c r="K135" s="40">
        <f>IMAGE("https://raw.githubusercontent.com/stautonico/pokemon-home-pokedex/main/sprites/toxicroak-f.png", 2)</f>
        <v>0</v>
      </c>
      <c r="L135" s="40">
        <f>IMAGE("https://raw.githubusercontent.com/stautonico/pokemon-home-pokedex/main/sprites/finneon-f.png", 2)</f>
        <v>0</v>
      </c>
      <c r="M135" s="40">
        <f>IMAGE("https://raw.githubusercontent.com/stautonico/pokemon-home-pokedex/main/sprites/lumineon-f.png", 2)</f>
        <v>0</v>
      </c>
      <c r="N135" s="40">
        <f>IMAGE("https://raw.githubusercontent.com/stautonico/pokemon-home-pokedex/main/sprites/snover-f.png", 2)</f>
        <v>0</v>
      </c>
    </row>
    <row r="138" spans="2:14">
      <c r="B138" s="39" t="s">
        <v>1354</v>
      </c>
      <c r="I138" s="39" t="s">
        <v>1355</v>
      </c>
    </row>
    <row r="139" spans="2:14" ht="72" customHeight="1">
      <c r="B139" s="40">
        <f>IMAGE("https://raw.githubusercontent.com/stautonico/pokemon-home-pokedex/main/sprites/abomasnow-f.png", 2)</f>
        <v>0</v>
      </c>
      <c r="C139" s="40">
        <f>IMAGE("https://raw.githubusercontent.com/stautonico/pokemon-home-pokedex/main/sprites/weavile-f.png", 2)</f>
        <v>0</v>
      </c>
      <c r="D139" s="40">
        <f>IMAGE("https://raw.githubusercontent.com/stautonico/pokemon-home-pokedex/main/sprites/rhyperior-f.png", 2)</f>
        <v>0</v>
      </c>
      <c r="E139" s="40">
        <f>IMAGE("https://raw.githubusercontent.com/stautonico/pokemon-home-pokedex/main/sprites/tangrowth-f.png", 2)</f>
        <v>0</v>
      </c>
      <c r="F139" s="40">
        <f>IMAGE("https://raw.githubusercontent.com/stautonico/pokemon-home-pokedex/main/sprites/mamoswine-f.png", 2)</f>
        <v>0</v>
      </c>
      <c r="G139" s="40">
        <f>IMAGE("https://raw.githubusercontent.com/stautonico/pokemon-home-pokedex/main/sprites/unfezant-f.png", 2)</f>
        <v>0</v>
      </c>
      <c r="I139" s="40">
        <f>IMAGE("https://raw.githubusercontent.com/stautonico/pokemon-home-pokedex/main/sprites/pikachu-f.png", 2)</f>
        <v>0</v>
      </c>
      <c r="J139" s="40">
        <f>IMAGE("https://raw.githubusercontent.com/stautonico/pokemon-home-pokedex/main/sprites/pikachu-original.png", 2)</f>
        <v>0</v>
      </c>
      <c r="K139" s="40">
        <f>IMAGE("https://raw.githubusercontent.com/stautonico/pokemon-home-pokedex/main/sprites/pikachu-hoenn.png", 2)</f>
        <v>0</v>
      </c>
      <c r="L139" s="40">
        <f>IMAGE("https://raw.githubusercontent.com/stautonico/pokemon-home-pokedex/main/sprites/pikachu-sinnoh.png", 2)</f>
        <v>0</v>
      </c>
      <c r="M139" s="40">
        <f>IMAGE("https://raw.githubusercontent.com/stautonico/pokemon-home-pokedex/main/sprites/pikachu-unova.png", 2)</f>
        <v>0</v>
      </c>
      <c r="N139" s="40">
        <f>IMAGE("https://raw.githubusercontent.com/stautonico/pokemon-home-pokedex/main/sprites/pikachu-kalos.png", 2)</f>
        <v>0</v>
      </c>
    </row>
    <row r="140" spans="2:14" ht="72" customHeight="1">
      <c r="B140" s="40">
        <f>IMAGE("https://raw.githubusercontent.com/stautonico/pokemon-home-pokedex/main/sprites/frillish-f.png", 2)</f>
        <v>0</v>
      </c>
      <c r="C140" s="40">
        <f>IMAGE("https://raw.githubusercontent.com/stautonico/pokemon-home-pokedex/main/sprites/jellicent-f.png", 2)</f>
        <v>0</v>
      </c>
      <c r="D140" s="40">
        <f>IMAGE("https://raw.githubusercontent.com/stautonico/pokemon-home-pokedex/main/sprites/pyroar-f.png", 2)</f>
        <v>0</v>
      </c>
      <c r="E140" s="40">
        <f>IMAGE("https://raw.githubusercontent.com/stautonico/pokemon-home-pokedex/main/sprites/meowstic-f.png", 2)</f>
        <v>0</v>
      </c>
      <c r="F140" s="40">
        <f>IMAGE("https://raw.githubusercontent.com/stautonico/pokemon-home-pokedex/main/sprites/indeedee-f.png", 2)</f>
        <v>0</v>
      </c>
      <c r="G140" s="40">
        <f>IMAGE("https://raw.githubusercontent.com/stautonico/pokemon-home-pokedex/main/sprites/basculegion-f.png", 2)</f>
        <v>0</v>
      </c>
      <c r="I140" s="40">
        <f>IMAGE("https://raw.githubusercontent.com/stautonico/pokemon-home-pokedex/main/sprites/pikachu-alola.png", 2)</f>
        <v>0</v>
      </c>
      <c r="J140" s="40">
        <f>IMAGE("https://raw.githubusercontent.com/stautonico/pokemon-home-pokedex/main/sprites/pikachu-partner.png", 2)</f>
        <v>0</v>
      </c>
      <c r="K140" s="40">
        <f>IMAGE("https://raw.githubusercontent.com/stautonico/pokemon-home-pokedex/main/sprites/pikachu-world.png", 2)</f>
        <v>0</v>
      </c>
      <c r="L140" s="40"/>
      <c r="M140" s="40"/>
      <c r="N140" s="40"/>
    </row>
    <row r="141" spans="2:14" ht="72" customHeight="1">
      <c r="B141" s="40"/>
      <c r="C141" s="40"/>
      <c r="D141" s="40"/>
      <c r="E141" s="40"/>
      <c r="F141" s="40"/>
      <c r="G141" s="40"/>
      <c r="I141" s="40"/>
      <c r="J141" s="40"/>
      <c r="K141" s="40"/>
      <c r="L141" s="40"/>
      <c r="M141" s="40"/>
      <c r="N141" s="40"/>
    </row>
    <row r="142" spans="2:14" ht="72" customHeight="1">
      <c r="B142" s="40"/>
      <c r="C142" s="40"/>
      <c r="D142" s="40"/>
      <c r="E142" s="40"/>
      <c r="F142" s="40"/>
      <c r="G142" s="40"/>
      <c r="I142" s="40"/>
      <c r="J142" s="40"/>
      <c r="K142" s="40"/>
      <c r="L142" s="40"/>
      <c r="M142" s="40"/>
      <c r="N142" s="40"/>
    </row>
    <row r="143" spans="2:14" ht="72" customHeight="1">
      <c r="B143" s="40"/>
      <c r="C143" s="40"/>
      <c r="D143" s="40"/>
      <c r="E143" s="40"/>
      <c r="F143" s="40"/>
      <c r="G143" s="40"/>
      <c r="I143" s="40"/>
      <c r="J143" s="40"/>
      <c r="K143" s="40"/>
      <c r="L143" s="40"/>
      <c r="M143" s="40"/>
      <c r="N143" s="40"/>
    </row>
    <row r="146" spans="2:14">
      <c r="B146" s="39" t="s">
        <v>1356</v>
      </c>
      <c r="I146" s="39" t="s">
        <v>1357</v>
      </c>
    </row>
    <row r="147" spans="2:14" ht="72" customHeight="1">
      <c r="B147" s="40">
        <f>IMAGE("https://raw.githubusercontent.com/stautonico/pokemon-home-pokedex/main/sprites/unown.png", 2)</f>
        <v>0</v>
      </c>
      <c r="C147" s="40">
        <f>IMAGE("https://raw.githubusercontent.com/stautonico/pokemon-home-pokedex/main/sprites/unown-b.png", 2)</f>
        <v>0</v>
      </c>
      <c r="D147" s="40">
        <f>IMAGE("https://raw.githubusercontent.com/stautonico/pokemon-home-pokedex/main/sprites/unown-c.png", 2)</f>
        <v>0</v>
      </c>
      <c r="E147" s="40">
        <f>IMAGE("https://raw.githubusercontent.com/stautonico/pokemon-home-pokedex/main/sprites/unown-d.png", 2)</f>
        <v>0</v>
      </c>
      <c r="F147" s="40">
        <f>IMAGE("https://raw.githubusercontent.com/stautonico/pokemon-home-pokedex/main/sprites/unown-e.png", 2)</f>
        <v>0</v>
      </c>
      <c r="G147" s="40">
        <f>IMAGE("https://raw.githubusercontent.com/stautonico/pokemon-home-pokedex/main/sprites/unown-f.png", 2)</f>
        <v>0</v>
      </c>
      <c r="I147" s="40">
        <f>IMAGE("https://raw.githubusercontent.com/stautonico/pokemon-home-pokedex/main/sprites/deoxys.png", 2)</f>
        <v>0</v>
      </c>
      <c r="J147" s="40">
        <f>IMAGE("https://raw.githubusercontent.com/stautonico/pokemon-home-pokedex/main/sprites/deoxys-attack.png", 2)</f>
        <v>0</v>
      </c>
      <c r="K147" s="40">
        <f>IMAGE("https://raw.githubusercontent.com/stautonico/pokemon-home-pokedex/main/sprites/deoxys-defense.png", 2)</f>
        <v>0</v>
      </c>
      <c r="L147" s="40">
        <f>IMAGE("https://raw.githubusercontent.com/stautonico/pokemon-home-pokedex/main/sprites/deoxys-speed.png", 2)</f>
        <v>0</v>
      </c>
      <c r="M147" s="40"/>
      <c r="N147" s="40"/>
    </row>
    <row r="148" spans="2:14" ht="72" customHeight="1">
      <c r="B148" s="40">
        <f>IMAGE("https://raw.githubusercontent.com/stautonico/pokemon-home-pokedex/main/sprites/unown-g.png", 2)</f>
        <v>0</v>
      </c>
      <c r="C148" s="40">
        <f>IMAGE("https://raw.githubusercontent.com/stautonico/pokemon-home-pokedex/main/sprites/unown-h.png", 2)</f>
        <v>0</v>
      </c>
      <c r="D148" s="40">
        <f>IMAGE("https://raw.githubusercontent.com/stautonico/pokemon-home-pokedex/main/sprites/unown-i.png", 2)</f>
        <v>0</v>
      </c>
      <c r="E148" s="40">
        <f>IMAGE("https://raw.githubusercontent.com/stautonico/pokemon-home-pokedex/main/sprites/unown-j.png", 2)</f>
        <v>0</v>
      </c>
      <c r="F148" s="40">
        <f>IMAGE("https://raw.githubusercontent.com/stautonico/pokemon-home-pokedex/main/sprites/unown-k.png", 2)</f>
        <v>0</v>
      </c>
      <c r="G148" s="40">
        <f>IMAGE("https://raw.githubusercontent.com/stautonico/pokemon-home-pokedex/main/sprites/unown-l.png", 2)</f>
        <v>0</v>
      </c>
      <c r="I148" s="40">
        <f>IMAGE("https://raw.githubusercontent.com/stautonico/pokemon-home-pokedex/main/sprites/burmy.png", 2)</f>
        <v>0</v>
      </c>
      <c r="J148" s="40">
        <f>IMAGE("https://raw.githubusercontent.com/stautonico/pokemon-home-pokedex/main/sprites/burmy-sandy.png", 2)</f>
        <v>0</v>
      </c>
      <c r="K148" s="40">
        <f>IMAGE("https://raw.githubusercontent.com/stautonico/pokemon-home-pokedex/main/sprites/burmy-trash.png", 2)</f>
        <v>0</v>
      </c>
      <c r="L148" s="40">
        <f>IMAGE("https://raw.githubusercontent.com/stautonico/pokemon-home-pokedex/main/sprites/shellos.png", 2)</f>
        <v>0</v>
      </c>
      <c r="M148" s="40">
        <f>IMAGE("https://raw.githubusercontent.com/stautonico/pokemon-home-pokedex/main/sprites/gastrodon.png", 2)</f>
        <v>0</v>
      </c>
      <c r="N148" s="40"/>
    </row>
    <row r="149" spans="2:14" ht="72" customHeight="1">
      <c r="B149" s="40">
        <f>IMAGE("https://raw.githubusercontent.com/stautonico/pokemon-home-pokedex/main/sprites/unown-m.png", 2)</f>
        <v>0</v>
      </c>
      <c r="C149" s="40">
        <f>IMAGE("https://raw.githubusercontent.com/stautonico/pokemon-home-pokedex/main/sprites/unown-n.png", 2)</f>
        <v>0</v>
      </c>
      <c r="D149" s="40">
        <f>IMAGE("https://raw.githubusercontent.com/stautonico/pokemon-home-pokedex/main/sprites/unown-o.png", 2)</f>
        <v>0</v>
      </c>
      <c r="E149" s="40">
        <f>IMAGE("https://raw.githubusercontent.com/stautonico/pokemon-home-pokedex/main/sprites/unown-p.png", 2)</f>
        <v>0</v>
      </c>
      <c r="F149" s="40">
        <f>IMAGE("https://raw.githubusercontent.com/stautonico/pokemon-home-pokedex/main/sprites/unown-q.png", 2)</f>
        <v>0</v>
      </c>
      <c r="G149" s="40">
        <f>IMAGE("https://raw.githubusercontent.com/stautonico/pokemon-home-pokedex/main/sprites/unown-r.png", 2)</f>
        <v>0</v>
      </c>
      <c r="I149" s="40">
        <f>IMAGE("https://raw.githubusercontent.com/stautonico/pokemon-home-pokedex/main/sprites/wormadam.png", 2)</f>
        <v>0</v>
      </c>
      <c r="J149" s="40">
        <f>IMAGE("https://raw.githubusercontent.com/stautonico/pokemon-home-pokedex/main/sprites/wormadam-sandy.png", 2)</f>
        <v>0</v>
      </c>
      <c r="K149" s="40">
        <f>IMAGE("https://raw.githubusercontent.com/stautonico/pokemon-home-pokedex/main/sprites/wormadam-trash.png", 2)</f>
        <v>0</v>
      </c>
      <c r="L149" s="40">
        <f>IMAGE("https://raw.githubusercontent.com/stautonico/pokemon-home-pokedex/main/sprites/shellos-east.png", 2)</f>
        <v>0</v>
      </c>
      <c r="M149" s="40">
        <f>IMAGE("https://raw.githubusercontent.com/stautonico/pokemon-home-pokedex/main/sprites/gastrodon-east.png", 2)</f>
        <v>0</v>
      </c>
      <c r="N149" s="40"/>
    </row>
    <row r="150" spans="2:14" ht="72" customHeight="1">
      <c r="B150" s="40">
        <f>IMAGE("https://raw.githubusercontent.com/stautonico/pokemon-home-pokedex/main/sprites/unown-s.png", 2)</f>
        <v>0</v>
      </c>
      <c r="C150" s="40">
        <f>IMAGE("https://raw.githubusercontent.com/stautonico/pokemon-home-pokedex/main/sprites/unown-t.png", 2)</f>
        <v>0</v>
      </c>
      <c r="D150" s="40">
        <f>IMAGE("https://raw.githubusercontent.com/stautonico/pokemon-home-pokedex/main/sprites/unown-u.png", 2)</f>
        <v>0</v>
      </c>
      <c r="E150" s="40">
        <f>IMAGE("https://raw.githubusercontent.com/stautonico/pokemon-home-pokedex/main/sprites/unown-v.png", 2)</f>
        <v>0</v>
      </c>
      <c r="F150" s="40">
        <f>IMAGE("https://raw.githubusercontent.com/stautonico/pokemon-home-pokedex/main/sprites/unown-w.png", 2)</f>
        <v>0</v>
      </c>
      <c r="G150" s="40">
        <f>IMAGE("https://raw.githubusercontent.com/stautonico/pokemon-home-pokedex/main/sprites/unown-x.png", 2)</f>
        <v>0</v>
      </c>
      <c r="I150" s="40">
        <f>IMAGE("https://raw.githubusercontent.com/stautonico/pokemon-home-pokedex/main/sprites/rotom.png", 2)</f>
        <v>0</v>
      </c>
      <c r="J150" s="40">
        <f>IMAGE("https://raw.githubusercontent.com/stautonico/pokemon-home-pokedex/main/sprites/rotom-heat.png", 2)</f>
        <v>0</v>
      </c>
      <c r="K150" s="40">
        <f>IMAGE("https://raw.githubusercontent.com/stautonico/pokemon-home-pokedex/main/sprites/rotom-wash.png", 2)</f>
        <v>0</v>
      </c>
      <c r="L150" s="40">
        <f>IMAGE("https://raw.githubusercontent.com/stautonico/pokemon-home-pokedex/main/sprites/rotom-frost.png", 2)</f>
        <v>0</v>
      </c>
      <c r="M150" s="40">
        <f>IMAGE("https://raw.githubusercontent.com/stautonico/pokemon-home-pokedex/main/sprites/rotom-fan.png", 2)</f>
        <v>0</v>
      </c>
      <c r="N150" s="40">
        <f>IMAGE("https://raw.githubusercontent.com/stautonico/pokemon-home-pokedex/main/sprites/rotom-mow.png", 2)</f>
        <v>0</v>
      </c>
    </row>
    <row r="151" spans="2:14" ht="72" customHeight="1">
      <c r="B151" s="40">
        <f>IMAGE("https://raw.githubusercontent.com/stautonico/pokemon-home-pokedex/main/sprites/unown-y.png", 2)</f>
        <v>0</v>
      </c>
      <c r="C151" s="40">
        <f>IMAGE("https://raw.githubusercontent.com/stautonico/pokemon-home-pokedex/main/sprites/unown-z.png", 2)</f>
        <v>0</v>
      </c>
      <c r="D151" s="40">
        <f>IMAGE("https://raw.githubusercontent.com/stautonico/pokemon-home-pokedex/main/sprites/unown-exclamation.png", 2)</f>
        <v>0</v>
      </c>
      <c r="E151" s="40">
        <f>IMAGE("https://raw.githubusercontent.com/stautonico/pokemon-home-pokedex/main/sprites/unown-question.png", 2)</f>
        <v>0</v>
      </c>
      <c r="F151" s="40"/>
      <c r="G151" s="40"/>
      <c r="I151" s="40">
        <f>IMAGE("https://raw.githubusercontent.com/stautonico/pokemon-home-pokedex/main/sprites/shaymin.png", 2)</f>
        <v>0</v>
      </c>
      <c r="J151" s="40">
        <f>IMAGE("https://raw.githubusercontent.com/stautonico/pokemon-home-pokedex/main/sprites/shaymin-sky.png", 2)</f>
        <v>0</v>
      </c>
      <c r="K151" s="40"/>
      <c r="L151" s="40"/>
      <c r="M151" s="40"/>
      <c r="N151" s="40"/>
    </row>
    <row r="154" spans="2:14">
      <c r="B154" s="39" t="s">
        <v>1358</v>
      </c>
      <c r="I154" s="39" t="s">
        <v>1359</v>
      </c>
    </row>
    <row r="155" spans="2:14" ht="72" customHeight="1">
      <c r="B155" s="40">
        <f>IMAGE("https://raw.githubusercontent.com/stautonico/pokemon-home-pokedex/main/sprites/deerling.png", 2)</f>
        <v>0</v>
      </c>
      <c r="C155" s="40">
        <f>IMAGE("https://raw.githubusercontent.com/stautonico/pokemon-home-pokedex/main/sprites/deerling-summer.png", 2)</f>
        <v>0</v>
      </c>
      <c r="D155" s="40">
        <f>IMAGE("https://raw.githubusercontent.com/stautonico/pokemon-home-pokedex/main/sprites/deerling-autumn.png", 2)</f>
        <v>0</v>
      </c>
      <c r="E155" s="40">
        <f>IMAGE("https://raw.githubusercontent.com/stautonico/pokemon-home-pokedex/main/sprites/deerling-winter.png", 2)</f>
        <v>0</v>
      </c>
      <c r="F155" s="40"/>
      <c r="G155" s="40"/>
      <c r="I155" s="40">
        <f>IMAGE("https://raw.githubusercontent.com/stautonico/pokemon-home-pokedex/main/sprites/pumpkaboo.png", 2)</f>
        <v>0</v>
      </c>
      <c r="J155" s="40">
        <f>IMAGE("https://raw.githubusercontent.com/stautonico/pokemon-home-pokedex/main/sprites/pumpkaboo-small.png", 2)</f>
        <v>0</v>
      </c>
      <c r="K155" s="40">
        <f>IMAGE("https://raw.githubusercontent.com/stautonico/pokemon-home-pokedex/main/sprites/pumpkaboo-large.png", 2)</f>
        <v>0</v>
      </c>
      <c r="L155" s="40">
        <f>IMAGE("https://raw.githubusercontent.com/stautonico/pokemon-home-pokedex/main/sprites/pumpkaboo-super.png", 2)</f>
        <v>0</v>
      </c>
      <c r="M155" s="40"/>
      <c r="N155" s="40"/>
    </row>
    <row r="156" spans="2:14" ht="72" customHeight="1">
      <c r="B156" s="40">
        <f>IMAGE("https://raw.githubusercontent.com/stautonico/pokemon-home-pokedex/main/sprites/sawsbuck.png", 2)</f>
        <v>0</v>
      </c>
      <c r="C156" s="40">
        <f>IMAGE("https://raw.githubusercontent.com/stautonico/pokemon-home-pokedex/main/sprites/sawsbuck-summer.png", 2)</f>
        <v>0</v>
      </c>
      <c r="D156" s="40">
        <f>IMAGE("https://raw.githubusercontent.com/stautonico/pokemon-home-pokedex/main/sprites/sawsbuck-autumn.png", 2)</f>
        <v>0</v>
      </c>
      <c r="E156" s="40">
        <f>IMAGE("https://raw.githubusercontent.com/stautonico/pokemon-home-pokedex/main/sprites/sawsbuck-winter.png", 2)</f>
        <v>0</v>
      </c>
      <c r="F156" s="40"/>
      <c r="G156" s="40"/>
      <c r="I156" s="40">
        <f>IMAGE("https://raw.githubusercontent.com/stautonico/pokemon-home-pokedex/main/sprites/gourgeist.png", 2)</f>
        <v>0</v>
      </c>
      <c r="J156" s="40">
        <f>IMAGE("https://raw.githubusercontent.com/stautonico/pokemon-home-pokedex/main/sprites/gourgeist-small.png", 2)</f>
        <v>0</v>
      </c>
      <c r="K156" s="40">
        <f>IMAGE("https://raw.githubusercontent.com/stautonico/pokemon-home-pokedex/main/sprites/gourgeist-large.png", 2)</f>
        <v>0</v>
      </c>
      <c r="L156" s="40">
        <f>IMAGE("https://raw.githubusercontent.com/stautonico/pokemon-home-pokedex/main/sprites/gourgeist-super.png", 2)</f>
        <v>0</v>
      </c>
      <c r="M156" s="40"/>
      <c r="N156" s="40"/>
    </row>
    <row r="157" spans="2:14" ht="72" customHeight="1">
      <c r="B157" s="40">
        <f>IMAGE("https://raw.githubusercontent.com/stautonico/pokemon-home-pokedex/main/sprites/basculin.png", 2)</f>
        <v>0</v>
      </c>
      <c r="C157" s="40">
        <f>IMAGE("https://raw.githubusercontent.com/stautonico/pokemon-home-pokedex/main/sprites/basculin-blue-striped.png", 2)</f>
        <v>0</v>
      </c>
      <c r="D157" s="40"/>
      <c r="E157" s="40"/>
      <c r="F157" s="40"/>
      <c r="G157" s="40"/>
      <c r="I157" s="40">
        <f>IMAGE("https://raw.githubusercontent.com/stautonico/pokemon-home-pokedex/main/sprites/furfrou.png", 2)</f>
        <v>0</v>
      </c>
      <c r="J157" s="40">
        <f>IMAGE("https://raw.githubusercontent.com/stautonico/pokemon-home-pokedex/main/sprites/furfrou-heart.png", 2)</f>
        <v>0</v>
      </c>
      <c r="K157" s="40">
        <f>IMAGE("https://raw.githubusercontent.com/stautonico/pokemon-home-pokedex/main/sprites/furfrou-star.png", 2)</f>
        <v>0</v>
      </c>
      <c r="L157" s="40">
        <f>IMAGE("https://raw.githubusercontent.com/stautonico/pokemon-home-pokedex/main/sprites/furfrou-diamond.png", 2)</f>
        <v>0</v>
      </c>
      <c r="M157" s="40">
        <f>IMAGE("https://raw.githubusercontent.com/stautonico/pokemon-home-pokedex/main/sprites/furfrou-debutante.png", 2)</f>
        <v>0</v>
      </c>
      <c r="N157" s="40"/>
    </row>
    <row r="158" spans="2:14" ht="72" customHeight="1">
      <c r="B158" s="40">
        <f>IMAGE("https://raw.githubusercontent.com/stautonico/pokemon-home-pokedex/main/sprites/tornadus.png", 2)</f>
        <v>0</v>
      </c>
      <c r="C158" s="40">
        <f>IMAGE("https://raw.githubusercontent.com/stautonico/pokemon-home-pokedex/main/sprites/tornadus-therian.png", 2)</f>
        <v>0</v>
      </c>
      <c r="D158" s="40">
        <f>IMAGE("https://raw.githubusercontent.com/stautonico/pokemon-home-pokedex/main/sprites/thundurus.png", 2)</f>
        <v>0</v>
      </c>
      <c r="E158" s="40">
        <f>IMAGE("https://raw.githubusercontent.com/stautonico/pokemon-home-pokedex/main/sprites/thundurus-therian.png", 2)</f>
        <v>0</v>
      </c>
      <c r="F158" s="40">
        <f>IMAGE("https://raw.githubusercontent.com/stautonico/pokemon-home-pokedex/main/sprites/landorus.png", 2)</f>
        <v>0</v>
      </c>
      <c r="G158" s="40">
        <f>IMAGE("https://raw.githubusercontent.com/stautonico/pokemon-home-pokedex/main/sprites/landorus-therian.png", 2)</f>
        <v>0</v>
      </c>
      <c r="I158" s="40">
        <f>IMAGE("https://raw.githubusercontent.com/stautonico/pokemon-home-pokedex/main/sprites/furfrou-matron.png", 2)</f>
        <v>0</v>
      </c>
      <c r="J158" s="40">
        <f>IMAGE("https://raw.githubusercontent.com/stautonico/pokemon-home-pokedex/main/sprites/furfrou-dandy.png", 2)</f>
        <v>0</v>
      </c>
      <c r="K158" s="40">
        <f>IMAGE("https://raw.githubusercontent.com/stautonico/pokemon-home-pokedex/main/sprites/furfrou-la-reine.png", 2)</f>
        <v>0</v>
      </c>
      <c r="L158" s="40">
        <f>IMAGE("https://raw.githubusercontent.com/stautonico/pokemon-home-pokedex/main/sprites/furfrou-kabuki.png", 2)</f>
        <v>0</v>
      </c>
      <c r="M158" s="40">
        <f>IMAGE("https://raw.githubusercontent.com/stautonico/pokemon-home-pokedex/main/sprites/furfrou-pharaoh.png", 2)</f>
        <v>0</v>
      </c>
      <c r="N158" s="40"/>
    </row>
    <row r="159" spans="2:14" ht="72" customHeight="1">
      <c r="B159" s="40">
        <f>IMAGE("https://raw.githubusercontent.com/stautonico/pokemon-home-pokedex/main/sprites/keldeo.png", 2)</f>
        <v>0</v>
      </c>
      <c r="C159" s="40">
        <f>IMAGE("https://raw.githubusercontent.com/stautonico/pokemon-home-pokedex/main/sprites/keldeo-resolute.png", 2)</f>
        <v>0</v>
      </c>
      <c r="D159" s="40"/>
      <c r="E159" s="40"/>
      <c r="F159" s="40"/>
      <c r="G159" s="40"/>
      <c r="I159" s="40"/>
      <c r="J159" s="40"/>
      <c r="K159" s="40"/>
      <c r="L159" s="40"/>
      <c r="M159" s="40"/>
      <c r="N159" s="40"/>
    </row>
    <row r="162" spans="2:14">
      <c r="B162" s="39" t="s">
        <v>1360</v>
      </c>
      <c r="I162" s="39" t="s">
        <v>1361</v>
      </c>
    </row>
    <row r="163" spans="2:14" ht="72" customHeight="1">
      <c r="B163" s="40">
        <f>IMAGE("https://raw.githubusercontent.com/stautonico/pokemon-home-pokedex/main/sprites/flabebe.png", 2)</f>
        <v>0</v>
      </c>
      <c r="C163" s="40">
        <f>IMAGE("https://raw.githubusercontent.com/stautonico/pokemon-home-pokedex/main/sprites/flabebe-yellow.png", 2)</f>
        <v>0</v>
      </c>
      <c r="D163" s="40">
        <f>IMAGE("https://raw.githubusercontent.com/stautonico/pokemon-home-pokedex/main/sprites/flabebe-orange.png", 2)</f>
        <v>0</v>
      </c>
      <c r="E163" s="40">
        <f>IMAGE("https://raw.githubusercontent.com/stautonico/pokemon-home-pokedex/main/sprites/flabebe-blue.png", 2)</f>
        <v>0</v>
      </c>
      <c r="F163" s="40">
        <f>IMAGE("https://raw.githubusercontent.com/stautonico/pokemon-home-pokedex/main/sprites/flabebe-white.png", 2)</f>
        <v>0</v>
      </c>
      <c r="G163" s="40"/>
      <c r="I163" s="40">
        <f>IMAGE("https://raw.githubusercontent.com/stautonico/pokemon-home-pokedex/main/sprites/vivillon.png", 2)</f>
        <v>0</v>
      </c>
      <c r="J163" s="40">
        <f>IMAGE("https://raw.githubusercontent.com/stautonico/pokemon-home-pokedex/main/sprites/vivillon-polar.png", 2)</f>
        <v>0</v>
      </c>
      <c r="K163" s="40">
        <f>IMAGE("https://raw.githubusercontent.com/stautonico/pokemon-home-pokedex/main/sprites/vivillon-tundra.png", 2)</f>
        <v>0</v>
      </c>
      <c r="L163" s="40">
        <f>IMAGE("https://raw.githubusercontent.com/stautonico/pokemon-home-pokedex/main/sprites/vivillon-continental.png", 2)</f>
        <v>0</v>
      </c>
      <c r="M163" s="40">
        <f>IMAGE("https://raw.githubusercontent.com/stautonico/pokemon-home-pokedex/main/sprites/vivillon-garden.png", 2)</f>
        <v>0</v>
      </c>
      <c r="N163" s="40">
        <f>IMAGE("https://raw.githubusercontent.com/stautonico/pokemon-home-pokedex/main/sprites/vivillon-elegant.png", 2)</f>
        <v>0</v>
      </c>
    </row>
    <row r="164" spans="2:14" ht="72" customHeight="1">
      <c r="B164" s="40">
        <f>IMAGE("https://raw.githubusercontent.com/stautonico/pokemon-home-pokedex/main/sprites/floette.png", 2)</f>
        <v>0</v>
      </c>
      <c r="C164" s="40">
        <f>IMAGE("https://raw.githubusercontent.com/stautonico/pokemon-home-pokedex/main/sprites/floette-yellow.png", 2)</f>
        <v>0</v>
      </c>
      <c r="D164" s="40">
        <f>IMAGE("https://raw.githubusercontent.com/stautonico/pokemon-home-pokedex/main/sprites/floette-orange.png", 2)</f>
        <v>0</v>
      </c>
      <c r="E164" s="40">
        <f>IMAGE("https://raw.githubusercontent.com/stautonico/pokemon-home-pokedex/main/sprites/floette-blue.png", 2)</f>
        <v>0</v>
      </c>
      <c r="F164" s="40">
        <f>IMAGE("https://raw.githubusercontent.com/stautonico/pokemon-home-pokedex/main/sprites/floette-white.png", 2)</f>
        <v>0</v>
      </c>
      <c r="G164" s="40"/>
      <c r="I164" s="40">
        <f>IMAGE("https://raw.githubusercontent.com/stautonico/pokemon-home-pokedex/main/sprites/vivillon-meadow.png", 2)</f>
        <v>0</v>
      </c>
      <c r="J164" s="40">
        <f>IMAGE("https://raw.githubusercontent.com/stautonico/pokemon-home-pokedex/main/sprites/vivillon-modern.png", 2)</f>
        <v>0</v>
      </c>
      <c r="K164" s="40">
        <f>IMAGE("https://raw.githubusercontent.com/stautonico/pokemon-home-pokedex/main/sprites/vivillon-marine.png", 2)</f>
        <v>0</v>
      </c>
      <c r="L164" s="40">
        <f>IMAGE("https://raw.githubusercontent.com/stautonico/pokemon-home-pokedex/main/sprites/vivillon-archipelago.png", 2)</f>
        <v>0</v>
      </c>
      <c r="M164" s="40">
        <f>IMAGE("https://raw.githubusercontent.com/stautonico/pokemon-home-pokedex/main/sprites/vivillon-high-plains.png", 2)</f>
        <v>0</v>
      </c>
      <c r="N164" s="40">
        <f>IMAGE("https://raw.githubusercontent.com/stautonico/pokemon-home-pokedex/main/sprites/vivillon-sandstorm.png", 2)</f>
        <v>0</v>
      </c>
    </row>
    <row r="165" spans="2:14" ht="72" customHeight="1">
      <c r="B165" s="40">
        <f>IMAGE("https://raw.githubusercontent.com/stautonico/pokemon-home-pokedex/main/sprites/florges.png", 2)</f>
        <v>0</v>
      </c>
      <c r="C165" s="40">
        <f>IMAGE("https://raw.githubusercontent.com/stautonico/pokemon-home-pokedex/main/sprites/florges-yellow.png", 2)</f>
        <v>0</v>
      </c>
      <c r="D165" s="40">
        <f>IMAGE("https://raw.githubusercontent.com/stautonico/pokemon-home-pokedex/main/sprites/florges-orange.png", 2)</f>
        <v>0</v>
      </c>
      <c r="E165" s="40">
        <f>IMAGE("https://raw.githubusercontent.com/stautonico/pokemon-home-pokedex/main/sprites/florges-blue.png", 2)</f>
        <v>0</v>
      </c>
      <c r="F165" s="40">
        <f>IMAGE("https://raw.githubusercontent.com/stautonico/pokemon-home-pokedex/main/sprites/florges-white.png", 2)</f>
        <v>0</v>
      </c>
      <c r="G165" s="40"/>
      <c r="I165" s="40">
        <f>IMAGE("https://raw.githubusercontent.com/stautonico/pokemon-home-pokedex/main/sprites/vivillon-river.png", 2)</f>
        <v>0</v>
      </c>
      <c r="J165" s="40">
        <f>IMAGE("https://raw.githubusercontent.com/stautonico/pokemon-home-pokedex/main/sprites/vivillon-monsoon.png", 2)</f>
        <v>0</v>
      </c>
      <c r="K165" s="40">
        <f>IMAGE("https://raw.githubusercontent.com/stautonico/pokemon-home-pokedex/main/sprites/vivillon-savanna.png", 2)</f>
        <v>0</v>
      </c>
      <c r="L165" s="40">
        <f>IMAGE("https://raw.githubusercontent.com/stautonico/pokemon-home-pokedex/main/sprites/vivillon-sun.png", 2)</f>
        <v>0</v>
      </c>
      <c r="M165" s="40">
        <f>IMAGE("https://raw.githubusercontent.com/stautonico/pokemon-home-pokedex/main/sprites/vivillon-ocean.png", 2)</f>
        <v>0</v>
      </c>
      <c r="N165" s="40">
        <f>IMAGE("https://raw.githubusercontent.com/stautonico/pokemon-home-pokedex/main/sprites/vivillon-jungle.png", 2)</f>
        <v>0</v>
      </c>
    </row>
    <row r="166" spans="2:14" ht="72" customHeight="1">
      <c r="B166" s="40">
        <f>IMAGE("https://raw.githubusercontent.com/stautonico/pokemon-home-pokedex/main/sprites/hoopa.png", 2)</f>
        <v>0</v>
      </c>
      <c r="C166" s="40">
        <f>IMAGE("https://raw.githubusercontent.com/stautonico/pokemon-home-pokedex/main/sprites/hoopa-unbound.png", 2)</f>
        <v>0</v>
      </c>
      <c r="D166" s="40"/>
      <c r="E166" s="40"/>
      <c r="F166" s="40"/>
      <c r="G166" s="40"/>
      <c r="I166" s="40">
        <f>IMAGE("https://raw.githubusercontent.com/stautonico/pokemon-home-pokedex/main/sprites/vivillon-fancy.png", 2)</f>
        <v>0</v>
      </c>
      <c r="J166" s="40">
        <f>IMAGE("https://raw.githubusercontent.com/stautonico/pokemon-home-pokedex/main/sprites/vivillon-pokeball.png", 2)</f>
        <v>0</v>
      </c>
      <c r="K166" s="40"/>
      <c r="L166" s="40"/>
      <c r="M166" s="40"/>
      <c r="N166" s="40"/>
    </row>
    <row r="167" spans="2:14" ht="72" customHeight="1">
      <c r="B167" s="40">
        <f>IMAGE("https://raw.githubusercontent.com/stautonico/pokemon-home-pokedex/main/sprites/greninja.png", 2)</f>
        <v>0</v>
      </c>
      <c r="C167" s="40">
        <f>IMAGE("https://raw.githubusercontent.com/stautonico/pokemon-home-pokedex/main/sprites/greninja-battle-bond.png", 2)</f>
        <v>0</v>
      </c>
      <c r="D167" s="40">
        <f>IMAGE("https://raw.githubusercontent.com/stautonico/pokemon-home-pokedex/main/sprites/zygarde.png", 2)</f>
        <v>0</v>
      </c>
      <c r="E167" s="40">
        <f>IMAGE("https://raw.githubusercontent.com/stautonico/pokemon-home-pokedex/main/sprites/zygarde-10.png", 2)</f>
        <v>0</v>
      </c>
      <c r="F167" s="40">
        <f>IMAGE("https://raw.githubusercontent.com/stautonico/pokemon-home-pokedex/main/sprites/zygarde-power-construct.png", 2)</f>
        <v>0</v>
      </c>
      <c r="G167" s="40">
        <f>IMAGE("https://raw.githubusercontent.com/stautonico/pokemon-home-pokedex/main/sprites/zygarde-10-power-construct.png", 2)</f>
        <v>0</v>
      </c>
      <c r="I167" s="40"/>
      <c r="J167" s="40"/>
      <c r="K167" s="40"/>
      <c r="L167" s="40"/>
      <c r="M167" s="40"/>
      <c r="N167" s="40"/>
    </row>
    <row r="170" spans="2:14">
      <c r="B170" s="39" t="s">
        <v>1362</v>
      </c>
      <c r="I170" s="39" t="s">
        <v>1363</v>
      </c>
    </row>
    <row r="171" spans="2:14" ht="72" customHeight="1">
      <c r="B171" s="40">
        <f>IMAGE("https://raw.githubusercontent.com/stautonico/pokemon-home-pokedex/main/sprites/oricorio.png", 2)</f>
        <v>0</v>
      </c>
      <c r="C171" s="40">
        <f>IMAGE("https://raw.githubusercontent.com/stautonico/pokemon-home-pokedex/main/sprites/oricorio-pom-pom.png", 2)</f>
        <v>0</v>
      </c>
      <c r="D171" s="40">
        <f>IMAGE("https://raw.githubusercontent.com/stautonico/pokemon-home-pokedex/main/sprites/oricorio-pau.png", 2)</f>
        <v>0</v>
      </c>
      <c r="E171" s="40">
        <f>IMAGE("https://raw.githubusercontent.com/stautonico/pokemon-home-pokedex/main/sprites/oricorio-sensu.png", 2)</f>
        <v>0</v>
      </c>
      <c r="F171" s="40"/>
      <c r="G171" s="40"/>
      <c r="I171" s="40">
        <f>IMAGE("https://raw.githubusercontent.com/stautonico/pokemon-home-pokedex/main/sprites/toxtricity.png", 2)</f>
        <v>0</v>
      </c>
      <c r="J171" s="40">
        <f>IMAGE("https://raw.githubusercontent.com/stautonico/pokemon-home-pokedex/main/sprites/toxtricity-low-key.png", 2)</f>
        <v>0</v>
      </c>
      <c r="K171" s="40"/>
      <c r="L171" s="40"/>
      <c r="M171" s="40"/>
      <c r="N171" s="40"/>
    </row>
    <row r="172" spans="2:14" ht="72" customHeight="1">
      <c r="B172" s="40">
        <f>IMAGE("https://raw.githubusercontent.com/stautonico/pokemon-home-pokedex/main/sprites/rockruff.png", 2)</f>
        <v>0</v>
      </c>
      <c r="C172" s="40">
        <f>IMAGE("https://raw.githubusercontent.com/stautonico/pokemon-home-pokedex/main/sprites/rockruff-own-tempo.png", 2)</f>
        <v>0</v>
      </c>
      <c r="D172" s="40">
        <f>IMAGE("https://raw.githubusercontent.com/stautonico/pokemon-home-pokedex/main/sprites/lycanroc.png", 2)</f>
        <v>0</v>
      </c>
      <c r="E172" s="40">
        <f>IMAGE("https://raw.githubusercontent.com/stautonico/pokemon-home-pokedex/main/sprites/lycanroc-midnight.png", 2)</f>
        <v>0</v>
      </c>
      <c r="F172" s="40">
        <f>IMAGE("https://raw.githubusercontent.com/stautonico/pokemon-home-pokedex/main/sprites/lycanroc-dusk.png", 2)</f>
        <v>0</v>
      </c>
      <c r="G172" s="40"/>
      <c r="I172" s="40">
        <f>IMAGE("https://raw.githubusercontent.com/stautonico/pokemon-home-pokedex/main/sprites/sinistea.png", 2)</f>
        <v>0</v>
      </c>
      <c r="J172" s="40">
        <f>IMAGE("https://raw.githubusercontent.com/stautonico/pokemon-home-pokedex/main/sprites/sinistea-antique.png", 2)</f>
        <v>0</v>
      </c>
      <c r="K172" s="40">
        <f>IMAGE("https://raw.githubusercontent.com/stautonico/pokemon-home-pokedex/main/sprites/polteageist.png", 2)</f>
        <v>0</v>
      </c>
      <c r="L172" s="40">
        <f>IMAGE("https://raw.githubusercontent.com/stautonico/pokemon-home-pokedex/main/sprites/polteageist-antique.png", 2)</f>
        <v>0</v>
      </c>
      <c r="M172" s="40"/>
      <c r="N172" s="40"/>
    </row>
    <row r="173" spans="2:14" ht="72" customHeight="1">
      <c r="B173" s="40">
        <f>IMAGE("https://raw.githubusercontent.com/stautonico/pokemon-home-pokedex/main/sprites/minior-red.png", 2)</f>
        <v>0</v>
      </c>
      <c r="C173" s="40">
        <f>IMAGE("https://raw.githubusercontent.com/stautonico/pokemon-home-pokedex/main/sprites/minior-orange.png", 2)</f>
        <v>0</v>
      </c>
      <c r="D173" s="40">
        <f>IMAGE("https://raw.githubusercontent.com/stautonico/pokemon-home-pokedex/main/sprites/minior-yellow.png", 2)</f>
        <v>0</v>
      </c>
      <c r="E173" s="40">
        <f>IMAGE("https://raw.githubusercontent.com/stautonico/pokemon-home-pokedex/main/sprites/minior-green.png", 2)</f>
        <v>0</v>
      </c>
      <c r="F173" s="40">
        <f>IMAGE("https://raw.githubusercontent.com/stautonico/pokemon-home-pokedex/main/sprites/minior-blue.png", 2)</f>
        <v>0</v>
      </c>
      <c r="G173" s="40">
        <f>IMAGE("https://raw.githubusercontent.com/stautonico/pokemon-home-pokedex/main/sprites/minior-indigo.png", 2)</f>
        <v>0</v>
      </c>
      <c r="I173" s="40">
        <f>IMAGE("https://raw.githubusercontent.com/stautonico/pokemon-home-pokedex/main/sprites/urshifu.png", 2)</f>
        <v>0</v>
      </c>
      <c r="J173" s="40">
        <f>IMAGE("https://raw.githubusercontent.com/stautonico/pokemon-home-pokedex/main/sprites/urshifu-rapid-strike.png", 2)</f>
        <v>0</v>
      </c>
      <c r="K173" s="40"/>
      <c r="L173" s="40"/>
      <c r="M173" s="40"/>
      <c r="N173" s="40"/>
    </row>
    <row r="174" spans="2:14" ht="72" customHeight="1">
      <c r="B174" s="40">
        <f>IMAGE("https://raw.githubusercontent.com/stautonico/pokemon-home-pokedex/main/sprites/minior-violet.png", 2)</f>
        <v>0</v>
      </c>
      <c r="C174" s="40">
        <f>IMAGE("https://raw.githubusercontent.com/stautonico/pokemon-home-pokedex/main/sprites/magearna.png", 2)</f>
        <v>0</v>
      </c>
      <c r="D174" s="40">
        <f>IMAGE("https://raw.githubusercontent.com/stautonico/pokemon-home-pokedex/main/sprites/magearna-original.png", 2)</f>
        <v>0</v>
      </c>
      <c r="E174" s="40"/>
      <c r="F174" s="40"/>
      <c r="G174" s="40"/>
      <c r="I174" s="40">
        <f>IMAGE("https://raw.githubusercontent.com/stautonico/pokemon-home-pokedex/main/sprites/zarude.png", 2)</f>
        <v>0</v>
      </c>
      <c r="J174" s="40">
        <f>IMAGE("https://raw.githubusercontent.com/stautonico/pokemon-home-pokedex/main/sprites/zarude-dada.png", 2)</f>
        <v>0</v>
      </c>
      <c r="K174" s="40"/>
      <c r="L174" s="40"/>
      <c r="M174" s="40"/>
      <c r="N174" s="40"/>
    </row>
    <row r="175" spans="2:14" ht="72" customHeight="1">
      <c r="B175" s="40"/>
      <c r="C175" s="40"/>
      <c r="D175" s="40"/>
      <c r="E175" s="40"/>
      <c r="F175" s="40"/>
      <c r="G175" s="40"/>
      <c r="I175" s="40">
        <f>IMAGE("https://raw.githubusercontent.com/stautonico/pokemon-home-pokedex/main/sprites/enamorus.png", 2)</f>
        <v>0</v>
      </c>
      <c r="J175" s="40">
        <f>IMAGE("https://raw.githubusercontent.com/stautonico/pokemon-home-pokedex/main/sprites/enamorus-therian.png", 2)</f>
        <v>0</v>
      </c>
      <c r="K175" s="40"/>
      <c r="L175" s="40"/>
      <c r="M175" s="40"/>
      <c r="N175" s="40"/>
    </row>
    <row r="178" spans="2:14">
      <c r="B178" s="39" t="s">
        <v>1364</v>
      </c>
      <c r="I178" s="39" t="s">
        <v>1365</v>
      </c>
    </row>
    <row r="179" spans="2:14" ht="72" customHeight="1">
      <c r="B179" s="40">
        <f>IMAGE("https://raw.githubusercontent.com/stautonico/pokemon-home-pokedex/main/sprites/alcremie.png", 2)</f>
        <v>0</v>
      </c>
      <c r="C179" s="40">
        <f>IMAGE("https://raw.githubusercontent.com/stautonico/pokemon-home-pokedex/main/sprites/alcremie-vanilla-cream-berry.png", 2)</f>
        <v>0</v>
      </c>
      <c r="D179" s="40">
        <f>IMAGE("https://raw.githubusercontent.com/stautonico/pokemon-home-pokedex/main/sprites/alcremie-vanilla-cream-love.png", 2)</f>
        <v>0</v>
      </c>
      <c r="E179" s="40">
        <f>IMAGE("https://raw.githubusercontent.com/stautonico/pokemon-home-pokedex/main/sprites/alcremie-vanilla-cream-star.png", 2)</f>
        <v>0</v>
      </c>
      <c r="F179" s="40">
        <f>IMAGE("https://raw.githubusercontent.com/stautonico/pokemon-home-pokedex/main/sprites/alcremie-vanilla-cream-clover.png", 2)</f>
        <v>0</v>
      </c>
      <c r="G179" s="40">
        <f>IMAGE("https://raw.githubusercontent.com/stautonico/pokemon-home-pokedex/main/sprites/alcremie-vanilla-cream-flower.png", 2)</f>
        <v>0</v>
      </c>
      <c r="I179" s="40">
        <f>IMAGE("https://raw.githubusercontent.com/stautonico/pokemon-home-pokedex/main/sprites/alcremie-lemon-cream-strawberry.png", 2)</f>
        <v>0</v>
      </c>
      <c r="J179" s="40">
        <f>IMAGE("https://raw.githubusercontent.com/stautonico/pokemon-home-pokedex/main/sprites/alcremie-lemon-cream-berry.png", 2)</f>
        <v>0</v>
      </c>
      <c r="K179" s="40">
        <f>IMAGE("https://raw.githubusercontent.com/stautonico/pokemon-home-pokedex/main/sprites/alcremie-lemon-cream-love.png", 2)</f>
        <v>0</v>
      </c>
      <c r="L179" s="40">
        <f>IMAGE("https://raw.githubusercontent.com/stautonico/pokemon-home-pokedex/main/sprites/alcremie-lemon-cream-star.png", 2)</f>
        <v>0</v>
      </c>
      <c r="M179" s="40">
        <f>IMAGE("https://raw.githubusercontent.com/stautonico/pokemon-home-pokedex/main/sprites/alcremie-lemon-cream-clover.png", 2)</f>
        <v>0</v>
      </c>
      <c r="N179" s="40">
        <f>IMAGE("https://raw.githubusercontent.com/stautonico/pokemon-home-pokedex/main/sprites/alcremie-lemon-cream-flower.png", 2)</f>
        <v>0</v>
      </c>
    </row>
    <row r="180" spans="2:14" ht="72" customHeight="1">
      <c r="B180" s="40">
        <f>IMAGE("https://raw.githubusercontent.com/stautonico/pokemon-home-pokedex/main/sprites/alcremie-vanilla-cream-ribbon.png", 2)</f>
        <v>0</v>
      </c>
      <c r="C180" s="40">
        <f>IMAGE("https://raw.githubusercontent.com/stautonico/pokemon-home-pokedex/main/sprites/alcremie-ruby-cream-strawberry.png", 2)</f>
        <v>0</v>
      </c>
      <c r="D180" s="40">
        <f>IMAGE("https://raw.githubusercontent.com/stautonico/pokemon-home-pokedex/main/sprites/alcremie-ruby-cream-berry.png", 2)</f>
        <v>0</v>
      </c>
      <c r="E180" s="40">
        <f>IMAGE("https://raw.githubusercontent.com/stautonico/pokemon-home-pokedex/main/sprites/alcremie-ruby-cream-love.png", 2)</f>
        <v>0</v>
      </c>
      <c r="F180" s="40">
        <f>IMAGE("https://raw.githubusercontent.com/stautonico/pokemon-home-pokedex/main/sprites/alcremie-ruby-cream-star.png", 2)</f>
        <v>0</v>
      </c>
      <c r="G180" s="40">
        <f>IMAGE("https://raw.githubusercontent.com/stautonico/pokemon-home-pokedex/main/sprites/alcremie-ruby-cream-clover.png", 2)</f>
        <v>0</v>
      </c>
      <c r="I180" s="40">
        <f>IMAGE("https://raw.githubusercontent.com/stautonico/pokemon-home-pokedex/main/sprites/alcremie-lemon-cream-ribbon.png", 2)</f>
        <v>0</v>
      </c>
      <c r="J180" s="40">
        <f>IMAGE("https://raw.githubusercontent.com/stautonico/pokemon-home-pokedex/main/sprites/alcremie-salted-cream-strawberry.png", 2)</f>
        <v>0</v>
      </c>
      <c r="K180" s="40">
        <f>IMAGE("https://raw.githubusercontent.com/stautonico/pokemon-home-pokedex/main/sprites/alcremie-salted-cream-berry.png", 2)</f>
        <v>0</v>
      </c>
      <c r="L180" s="40">
        <f>IMAGE("https://raw.githubusercontent.com/stautonico/pokemon-home-pokedex/main/sprites/alcremie-salted-cream-love.png", 2)</f>
        <v>0</v>
      </c>
      <c r="M180" s="40">
        <f>IMAGE("https://raw.githubusercontent.com/stautonico/pokemon-home-pokedex/main/sprites/alcremie-salted-cream-star.png", 2)</f>
        <v>0</v>
      </c>
      <c r="N180" s="40">
        <f>IMAGE("https://raw.githubusercontent.com/stautonico/pokemon-home-pokedex/main/sprites/alcremie-salted-cream-clover.png", 2)</f>
        <v>0</v>
      </c>
    </row>
    <row r="181" spans="2:14" ht="72" customHeight="1">
      <c r="B181" s="40">
        <f>IMAGE("https://raw.githubusercontent.com/stautonico/pokemon-home-pokedex/main/sprites/alcremie-ruby-cream-flower.png", 2)</f>
        <v>0</v>
      </c>
      <c r="C181" s="40">
        <f>IMAGE("https://raw.githubusercontent.com/stautonico/pokemon-home-pokedex/main/sprites/alcremie-ruby-cream-ribbon.png", 2)</f>
        <v>0</v>
      </c>
      <c r="D181" s="40">
        <f>IMAGE("https://raw.githubusercontent.com/stautonico/pokemon-home-pokedex/main/sprites/alcremie-matcha-cream-strawberry.png", 2)</f>
        <v>0</v>
      </c>
      <c r="E181" s="40">
        <f>IMAGE("https://raw.githubusercontent.com/stautonico/pokemon-home-pokedex/main/sprites/alcremie-matcha-cream-berry.png", 2)</f>
        <v>0</v>
      </c>
      <c r="F181" s="40">
        <f>IMAGE("https://raw.githubusercontent.com/stautonico/pokemon-home-pokedex/main/sprites/alcremie-matcha-cream-love.png", 2)</f>
        <v>0</v>
      </c>
      <c r="G181" s="40">
        <f>IMAGE("https://raw.githubusercontent.com/stautonico/pokemon-home-pokedex/main/sprites/alcremie-matcha-cream-star.png", 2)</f>
        <v>0</v>
      </c>
      <c r="I181" s="40">
        <f>IMAGE("https://raw.githubusercontent.com/stautonico/pokemon-home-pokedex/main/sprites/alcremie-salted-cream-flower.png", 2)</f>
        <v>0</v>
      </c>
      <c r="J181" s="40">
        <f>IMAGE("https://raw.githubusercontent.com/stautonico/pokemon-home-pokedex/main/sprites/alcremie-salted-cream-ribbon.png", 2)</f>
        <v>0</v>
      </c>
      <c r="K181" s="40">
        <f>IMAGE("https://raw.githubusercontent.com/stautonico/pokemon-home-pokedex/main/sprites/alcremie-ruby-swirl-strawberry.png", 2)</f>
        <v>0</v>
      </c>
      <c r="L181" s="40">
        <f>IMAGE("https://raw.githubusercontent.com/stautonico/pokemon-home-pokedex/main/sprites/alcremie-ruby-swirl-berry.png", 2)</f>
        <v>0</v>
      </c>
      <c r="M181" s="40">
        <f>IMAGE("https://raw.githubusercontent.com/stautonico/pokemon-home-pokedex/main/sprites/alcremie-ruby-swirl-love.png", 2)</f>
        <v>0</v>
      </c>
      <c r="N181" s="40">
        <f>IMAGE("https://raw.githubusercontent.com/stautonico/pokemon-home-pokedex/main/sprites/alcremie-ruby-swirl-star.png", 2)</f>
        <v>0</v>
      </c>
    </row>
    <row r="182" spans="2:14" ht="72" customHeight="1">
      <c r="B182" s="40">
        <f>IMAGE("https://raw.githubusercontent.com/stautonico/pokemon-home-pokedex/main/sprites/alcremie-matcha-cream-clover.png", 2)</f>
        <v>0</v>
      </c>
      <c r="C182" s="40">
        <f>IMAGE("https://raw.githubusercontent.com/stautonico/pokemon-home-pokedex/main/sprites/alcremie-matcha-cream-flower.png", 2)</f>
        <v>0</v>
      </c>
      <c r="D182" s="40">
        <f>IMAGE("https://raw.githubusercontent.com/stautonico/pokemon-home-pokedex/main/sprites/alcremie-matcha-cream-ribbon.png", 2)</f>
        <v>0</v>
      </c>
      <c r="E182" s="40">
        <f>IMAGE("https://raw.githubusercontent.com/stautonico/pokemon-home-pokedex/main/sprites/alcremie-mint-cream-strawberry.png", 2)</f>
        <v>0</v>
      </c>
      <c r="F182" s="40">
        <f>IMAGE("https://raw.githubusercontent.com/stautonico/pokemon-home-pokedex/main/sprites/alcremie-mint-cream-berry.png", 2)</f>
        <v>0</v>
      </c>
      <c r="G182" s="40">
        <f>IMAGE("https://raw.githubusercontent.com/stautonico/pokemon-home-pokedex/main/sprites/alcremie-mint-cream-love.png", 2)</f>
        <v>0</v>
      </c>
      <c r="I182" s="40">
        <f>IMAGE("https://raw.githubusercontent.com/stautonico/pokemon-home-pokedex/main/sprites/alcremie-ruby-swirl-clover.png", 2)</f>
        <v>0</v>
      </c>
      <c r="J182" s="40">
        <f>IMAGE("https://raw.githubusercontent.com/stautonico/pokemon-home-pokedex/main/sprites/alcremie-ruby-swirl-flower.png", 2)</f>
        <v>0</v>
      </c>
      <c r="K182" s="40">
        <f>IMAGE("https://raw.githubusercontent.com/stautonico/pokemon-home-pokedex/main/sprites/alcremie-ruby-swirl-ribbon.png", 2)</f>
        <v>0</v>
      </c>
      <c r="L182" s="40">
        <f>IMAGE("https://raw.githubusercontent.com/stautonico/pokemon-home-pokedex/main/sprites/alcremie-caramel-swirl-strawberry.png", 2)</f>
        <v>0</v>
      </c>
      <c r="M182" s="40">
        <f>IMAGE("https://raw.githubusercontent.com/stautonico/pokemon-home-pokedex/main/sprites/alcremie-caramel-swirl-berry.png", 2)</f>
        <v>0</v>
      </c>
      <c r="N182" s="40">
        <f>IMAGE("https://raw.githubusercontent.com/stautonico/pokemon-home-pokedex/main/sprites/alcremie-caramel-swirl-love.png", 2)</f>
        <v>0</v>
      </c>
    </row>
    <row r="183" spans="2:14" ht="72" customHeight="1">
      <c r="B183" s="40">
        <f>IMAGE("https://raw.githubusercontent.com/stautonico/pokemon-home-pokedex/main/sprites/alcremie-mint-cream-star.png", 2)</f>
        <v>0</v>
      </c>
      <c r="C183" s="40">
        <f>IMAGE("https://raw.githubusercontent.com/stautonico/pokemon-home-pokedex/main/sprites/alcremie-mint-cream-clover.png", 2)</f>
        <v>0</v>
      </c>
      <c r="D183" s="40">
        <f>IMAGE("https://raw.githubusercontent.com/stautonico/pokemon-home-pokedex/main/sprites/alcremie-mint-cream-flower.png", 2)</f>
        <v>0</v>
      </c>
      <c r="E183" s="40">
        <f>IMAGE("https://raw.githubusercontent.com/stautonico/pokemon-home-pokedex/main/sprites/alcremie-mint-cream-ribbon.png", 2)</f>
        <v>0</v>
      </c>
      <c r="F183" s="40"/>
      <c r="G183" s="40"/>
      <c r="I183" s="40">
        <f>IMAGE("https://raw.githubusercontent.com/stautonico/pokemon-home-pokedex/main/sprites/alcremie-caramel-swirl-star.png", 2)</f>
        <v>0</v>
      </c>
      <c r="J183" s="40">
        <f>IMAGE("https://raw.githubusercontent.com/stautonico/pokemon-home-pokedex/main/sprites/alcremie-caramel-swirl-clover.png", 2)</f>
        <v>0</v>
      </c>
      <c r="K183" s="40">
        <f>IMAGE("https://raw.githubusercontent.com/stautonico/pokemon-home-pokedex/main/sprites/alcremie-caramel-swirl-flower.png", 2)</f>
        <v>0</v>
      </c>
      <c r="L183" s="40">
        <f>IMAGE("https://raw.githubusercontent.com/stautonico/pokemon-home-pokedex/main/sprites/alcremie-caramel-swirl-ribbon.png", 2)</f>
        <v>0</v>
      </c>
      <c r="M183" s="40"/>
      <c r="N183" s="40"/>
    </row>
    <row r="186" spans="2:14">
      <c r="B186" s="39" t="s">
        <v>1366</v>
      </c>
      <c r="I186" s="39" t="s">
        <v>1367</v>
      </c>
    </row>
    <row r="187" spans="2:14" ht="72" customHeight="1">
      <c r="B187" s="40">
        <f>IMAGE("https://raw.githubusercontent.com/stautonico/pokemon-home-pokedex/main/sprites/alcremie-rainbow-swirl-strawberry.png", 2)</f>
        <v>0</v>
      </c>
      <c r="C187" s="40">
        <f>IMAGE("https://raw.githubusercontent.com/stautonico/pokemon-home-pokedex/main/sprites/alcremie-rainbow-swirl-berry.png", 2)</f>
        <v>0</v>
      </c>
      <c r="D187" s="40">
        <f>IMAGE("https://raw.githubusercontent.com/stautonico/pokemon-home-pokedex/main/sprites/alcremie-rainbow-swirl-love.png", 2)</f>
        <v>0</v>
      </c>
      <c r="E187" s="40">
        <f>IMAGE("https://raw.githubusercontent.com/stautonico/pokemon-home-pokedex/main/sprites/alcremie-rainbow-swirl-star.png", 2)</f>
        <v>0</v>
      </c>
      <c r="F187" s="40">
        <f>IMAGE("https://raw.githubusercontent.com/stautonico/pokemon-home-pokedex/main/sprites/alcremie-rainbow-swirl-clover.png", 2)</f>
        <v>0</v>
      </c>
      <c r="G187" s="40">
        <f>IMAGE("https://raw.githubusercontent.com/stautonico/pokemon-home-pokedex/main/sprites/alcremie-rainbow-swirl-flower.png", 2)</f>
        <v>0</v>
      </c>
      <c r="I187" s="40">
        <f>IMAGE("https://raw.githubusercontent.com/stautonico/pokemon-home-pokedex/main/sprites/venusaur-gigantamax.png", 2)</f>
        <v>0</v>
      </c>
      <c r="J187" s="40">
        <f>IMAGE("https://raw.githubusercontent.com/stautonico/pokemon-home-pokedex/main/sprites/venusaur-f-gigantamax.png", 2)</f>
        <v>0</v>
      </c>
      <c r="K187" s="40">
        <f>IMAGE("https://raw.githubusercontent.com/stautonico/pokemon-home-pokedex/main/sprites/charizard-gigantamax.png", 2)</f>
        <v>0</v>
      </c>
      <c r="L187" s="40">
        <f>IMAGE("https://raw.githubusercontent.com/stautonico/pokemon-home-pokedex/main/sprites/blastoise-gigantamax.png", 2)</f>
        <v>0</v>
      </c>
      <c r="M187" s="40">
        <f>IMAGE("https://raw.githubusercontent.com/stautonico/pokemon-home-pokedex/main/sprites/butterfree-gigantamax.png", 2)</f>
        <v>0</v>
      </c>
      <c r="N187" s="40">
        <f>IMAGE("https://raw.githubusercontent.com/stautonico/pokemon-home-pokedex/main/sprites/butterfree-f-gigantamax.png", 2)</f>
        <v>0</v>
      </c>
    </row>
    <row r="188" spans="2:14" ht="72" customHeight="1">
      <c r="B188" s="40">
        <f>IMAGE("https://raw.githubusercontent.com/stautonico/pokemon-home-pokedex/main/sprites/alcremie-rainbow-swirl-ribbon.png", 2)</f>
        <v>0</v>
      </c>
      <c r="C188" s="40"/>
      <c r="D188" s="40"/>
      <c r="E188" s="40"/>
      <c r="F188" s="40"/>
      <c r="G188" s="40"/>
      <c r="I188" s="40">
        <f>IMAGE("https://raw.githubusercontent.com/stautonico/pokemon-home-pokedex/main/sprites/pikachu-gigantamax.png", 2)</f>
        <v>0</v>
      </c>
      <c r="J188" s="40">
        <f>IMAGE("https://raw.githubusercontent.com/stautonico/pokemon-home-pokedex/main/sprites/pikachu-f-gigantamax.png", 2)</f>
        <v>0</v>
      </c>
      <c r="K188" s="40">
        <f>IMAGE("https://raw.githubusercontent.com/stautonico/pokemon-home-pokedex/main/sprites/meowth-gigantamax.png", 2)</f>
        <v>0</v>
      </c>
      <c r="L188" s="40">
        <f>IMAGE("https://raw.githubusercontent.com/stautonico/pokemon-home-pokedex/main/sprites/machamp-gigantamax.png", 2)</f>
        <v>0</v>
      </c>
      <c r="M188" s="40">
        <f>IMAGE("https://raw.githubusercontent.com/stautonico/pokemon-home-pokedex/main/sprites/gengar-gigantamax.png", 2)</f>
        <v>0</v>
      </c>
      <c r="N188" s="40">
        <f>IMAGE("https://raw.githubusercontent.com/stautonico/pokemon-home-pokedex/main/sprites/kingler-gigantamax.png", 2)</f>
        <v>0</v>
      </c>
    </row>
    <row r="189" spans="2:14" ht="72" customHeight="1">
      <c r="B189" s="40"/>
      <c r="C189" s="40"/>
      <c r="D189" s="40"/>
      <c r="E189" s="40"/>
      <c r="F189" s="40"/>
      <c r="G189" s="40"/>
      <c r="I189" s="40">
        <f>IMAGE("https://raw.githubusercontent.com/stautonico/pokemon-home-pokedex/main/sprites/lapras-gigantamax.png", 2)</f>
        <v>0</v>
      </c>
      <c r="J189" s="40">
        <f>IMAGE("https://raw.githubusercontent.com/stautonico/pokemon-home-pokedex/main/sprites/eevee-gigantamax.png", 2)</f>
        <v>0</v>
      </c>
      <c r="K189" s="40">
        <f>IMAGE("https://raw.githubusercontent.com/stautonico/pokemon-home-pokedex/main/sprites/eevee-f-gigantamax.png", 2)</f>
        <v>0</v>
      </c>
      <c r="L189" s="40">
        <f>IMAGE("https://raw.githubusercontent.com/stautonico/pokemon-home-pokedex/main/sprites/snorlax-gigantamax.png", 2)</f>
        <v>0</v>
      </c>
      <c r="M189" s="40">
        <f>IMAGE("https://raw.githubusercontent.com/stautonico/pokemon-home-pokedex/main/sprites/garbodor-gigantamax.png", 2)</f>
        <v>0</v>
      </c>
      <c r="N189" s="40">
        <f>IMAGE("https://raw.githubusercontent.com/stautonico/pokemon-home-pokedex/main/sprites/melmetal-gigantamax.png", 2)</f>
        <v>0</v>
      </c>
    </row>
    <row r="190" spans="2:14" ht="72" customHeight="1">
      <c r="B190" s="40"/>
      <c r="C190" s="40"/>
      <c r="D190" s="40"/>
      <c r="E190" s="40"/>
      <c r="F190" s="40"/>
      <c r="G190" s="40"/>
      <c r="I190" s="40">
        <f>IMAGE("https://raw.githubusercontent.com/stautonico/pokemon-home-pokedex/main/sprites/rillaboom-gigantamax.png", 2)</f>
        <v>0</v>
      </c>
      <c r="J190" s="40">
        <f>IMAGE("https://raw.githubusercontent.com/stautonico/pokemon-home-pokedex/main/sprites/cinderace-gigantamax.png", 2)</f>
        <v>0</v>
      </c>
      <c r="K190" s="40">
        <f>IMAGE("https://raw.githubusercontent.com/stautonico/pokemon-home-pokedex/main/sprites/inteleon-gigantamax.png", 2)</f>
        <v>0</v>
      </c>
      <c r="L190" s="40">
        <f>IMAGE("https://raw.githubusercontent.com/stautonico/pokemon-home-pokedex/main/sprites/corviknight-gigantamax.png", 2)</f>
        <v>0</v>
      </c>
      <c r="M190" s="40">
        <f>IMAGE("https://raw.githubusercontent.com/stautonico/pokemon-home-pokedex/main/sprites/orbeetle-gigantamax.png", 2)</f>
        <v>0</v>
      </c>
      <c r="N190" s="40">
        <f>IMAGE("https://raw.githubusercontent.com/stautonico/pokemon-home-pokedex/main/sprites/drednaw-gigantamax.png", 2)</f>
        <v>0</v>
      </c>
    </row>
    <row r="191" spans="2:14" ht="72" customHeight="1">
      <c r="B191" s="40"/>
      <c r="C191" s="40"/>
      <c r="D191" s="40"/>
      <c r="E191" s="40"/>
      <c r="F191" s="40"/>
      <c r="G191" s="40"/>
      <c r="I191" s="40">
        <f>IMAGE("https://raw.githubusercontent.com/stautonico/pokemon-home-pokedex/main/sprites/coalossal-gigantamax.png", 2)</f>
        <v>0</v>
      </c>
      <c r="J191" s="40">
        <f>IMAGE("https://raw.githubusercontent.com/stautonico/pokemon-home-pokedex/main/sprites/flapple-gigantamax.png", 2)</f>
        <v>0</v>
      </c>
      <c r="K191" s="40">
        <f>IMAGE("https://raw.githubusercontent.com/stautonico/pokemon-home-pokedex/main/sprites/appletun-gigantamax.png", 2)</f>
        <v>0</v>
      </c>
      <c r="L191" s="40">
        <f>IMAGE("https://raw.githubusercontent.com/stautonico/pokemon-home-pokedex/main/sprites/sandaconda-gigantamax.png", 2)</f>
        <v>0</v>
      </c>
      <c r="M191" s="40">
        <f>IMAGE("https://raw.githubusercontent.com/stautonico/pokemon-home-pokedex/main/sprites/toxtricity-gigantamax.png", 2)</f>
        <v>0</v>
      </c>
      <c r="N191" s="40">
        <f>IMAGE("https://raw.githubusercontent.com/stautonico/pokemon-home-pokedex/main/sprites/toxtricity-low-key-gigantamax.png", 2)</f>
        <v>0</v>
      </c>
    </row>
    <row r="194" spans="2:14">
      <c r="B194" s="39" t="s">
        <v>1368</v>
      </c>
      <c r="I194" s="39" t="s">
        <v>1369</v>
      </c>
    </row>
    <row r="195" spans="2:14" ht="72" customHeight="1">
      <c r="B195" s="40">
        <f>IMAGE("https://raw.githubusercontent.com/stautonico/pokemon-home-pokedex/main/sprites/centiskorch-gigantamax.png", 2)</f>
        <v>0</v>
      </c>
      <c r="C195" s="40">
        <f>IMAGE("https://raw.githubusercontent.com/stautonico/pokemon-home-pokedex/main/sprites/hatterene-gigantamax.png", 2)</f>
        <v>0</v>
      </c>
      <c r="D195" s="40">
        <f>IMAGE("https://raw.githubusercontent.com/stautonico/pokemon-home-pokedex/main/sprites/grimmsnarl-gigantamax.png", 2)</f>
        <v>0</v>
      </c>
      <c r="E195" s="40">
        <f>IMAGE("https://raw.githubusercontent.com/stautonico/pokemon-home-pokedex/main/sprites/alcremie-gigantamax.png", 2)</f>
        <v>0</v>
      </c>
      <c r="F195" s="40">
        <f>IMAGE("https://raw.githubusercontent.com/stautonico/pokemon-home-pokedex/main/sprites/copperajah-gigantamax.png", 2)</f>
        <v>0</v>
      </c>
      <c r="G195" s="40">
        <f>IMAGE("https://raw.githubusercontent.com/stautonico/pokemon-home-pokedex/main/sprites/duraludon-gigantamax.png", 2)</f>
        <v>0</v>
      </c>
      <c r="I195" s="40"/>
      <c r="J195" s="40"/>
      <c r="K195" s="40"/>
      <c r="L195" s="40"/>
      <c r="M195" s="40"/>
      <c r="N195" s="40"/>
    </row>
    <row r="196" spans="2:14" ht="72" customHeight="1">
      <c r="B196" s="40">
        <f>IMAGE("https://raw.githubusercontent.com/stautonico/pokemon-home-pokedex/main/sprites/urshifu-single-strike-gigantamax.png", 2)</f>
        <v>0</v>
      </c>
      <c r="C196" s="40">
        <f>IMAGE("https://raw.githubusercontent.com/stautonico/pokemon-home-pokedex/main/sprites/urshifu-rapid-strike-gigantamax.png", 2)</f>
        <v>0</v>
      </c>
      <c r="D196" s="40"/>
      <c r="E196" s="40"/>
      <c r="F196" s="40"/>
      <c r="G196" s="40"/>
      <c r="I196" s="40"/>
      <c r="J196" s="40"/>
      <c r="K196" s="40"/>
      <c r="L196" s="40"/>
      <c r="M196" s="40"/>
      <c r="N196" s="40"/>
    </row>
    <row r="197" spans="2:14" ht="72" customHeight="1">
      <c r="B197" s="40"/>
      <c r="C197" s="40"/>
      <c r="D197" s="40"/>
      <c r="E197" s="40"/>
      <c r="F197" s="40"/>
      <c r="G197" s="40"/>
      <c r="I197" s="40"/>
      <c r="J197" s="40"/>
      <c r="K197" s="40"/>
      <c r="L197" s="40"/>
      <c r="M197" s="40"/>
      <c r="N197" s="40"/>
    </row>
    <row r="198" spans="2:14" ht="72" customHeight="1">
      <c r="B198" s="40"/>
      <c r="C198" s="40"/>
      <c r="D198" s="40"/>
      <c r="E198" s="40"/>
      <c r="F198" s="40"/>
      <c r="G198" s="40"/>
      <c r="I198" s="40"/>
      <c r="J198" s="40"/>
      <c r="K198" s="40"/>
      <c r="L198" s="40"/>
      <c r="M198" s="40"/>
      <c r="N198" s="40"/>
    </row>
    <row r="199" spans="2:14" ht="72" customHeight="1">
      <c r="B199" s="40"/>
      <c r="C199" s="40"/>
      <c r="D199" s="40"/>
      <c r="E199" s="40"/>
      <c r="F199" s="40"/>
      <c r="G199" s="40"/>
      <c r="I199" s="40"/>
      <c r="J199" s="40"/>
      <c r="K199" s="40"/>
      <c r="L199" s="40"/>
      <c r="M199" s="40"/>
      <c r="N199" s="40"/>
    </row>
    <row r="202" spans="2:14">
      <c r="B202" s="39" t="s">
        <v>1370</v>
      </c>
      <c r="I202" s="39" t="s">
        <v>1371</v>
      </c>
    </row>
    <row r="203" spans="2:14" ht="72" customHeight="1">
      <c r="B203" s="40">
        <f>IMAGE("https://raw.githubusercontent.com/stautonico/pokemon-home-pokedex/main/sprites/rattata-alola.png", 2)</f>
        <v>0</v>
      </c>
      <c r="C203" s="40">
        <f>IMAGE("https://raw.githubusercontent.com/stautonico/pokemon-home-pokedex/main/sprites/raticate-alola.png", 2)</f>
        <v>0</v>
      </c>
      <c r="D203" s="40">
        <f>IMAGE("https://raw.githubusercontent.com/stautonico/pokemon-home-pokedex/main/sprites/raichu-alola.png", 2)</f>
        <v>0</v>
      </c>
      <c r="E203" s="40">
        <f>IMAGE("https://raw.githubusercontent.com/stautonico/pokemon-home-pokedex/main/sprites/sandshrew-alola.png", 2)</f>
        <v>0</v>
      </c>
      <c r="F203" s="40">
        <f>IMAGE("https://raw.githubusercontent.com/stautonico/pokemon-home-pokedex/main/sprites/sandslash-alola.png", 2)</f>
        <v>0</v>
      </c>
      <c r="G203" s="40">
        <f>IMAGE("https://raw.githubusercontent.com/stautonico/pokemon-home-pokedex/main/sprites/vulpix-alola.png", 2)</f>
        <v>0</v>
      </c>
      <c r="I203" s="40">
        <f>IMAGE("https://raw.githubusercontent.com/stautonico/pokemon-home-pokedex/main/sprites/meowth-galar.png", 2)</f>
        <v>0</v>
      </c>
      <c r="J203" s="40">
        <f>IMAGE("https://raw.githubusercontent.com/stautonico/pokemon-home-pokedex/main/sprites/ponyta-galar.png", 2)</f>
        <v>0</v>
      </c>
      <c r="K203" s="40">
        <f>IMAGE("https://raw.githubusercontent.com/stautonico/pokemon-home-pokedex/main/sprites/rapidash-galar.png", 2)</f>
        <v>0</v>
      </c>
      <c r="L203" s="40">
        <f>IMAGE("https://raw.githubusercontent.com/stautonico/pokemon-home-pokedex/main/sprites/slowpoke-galar.png", 2)</f>
        <v>0</v>
      </c>
      <c r="M203" s="40">
        <f>IMAGE("https://raw.githubusercontent.com/stautonico/pokemon-home-pokedex/main/sprites/slowbro-galar.png", 2)</f>
        <v>0</v>
      </c>
      <c r="N203" s="40">
        <f>IMAGE("https://raw.githubusercontent.com/stautonico/pokemon-home-pokedex/main/sprites/farfetchd-galar.png", 2)</f>
        <v>0</v>
      </c>
    </row>
    <row r="204" spans="2:14" ht="72" customHeight="1">
      <c r="B204" s="40">
        <f>IMAGE("https://raw.githubusercontent.com/stautonico/pokemon-home-pokedex/main/sprites/ninetales-alola.png", 2)</f>
        <v>0</v>
      </c>
      <c r="C204" s="40">
        <f>IMAGE("https://raw.githubusercontent.com/stautonico/pokemon-home-pokedex/main/sprites/diglett-alola.png", 2)</f>
        <v>0</v>
      </c>
      <c r="D204" s="40">
        <f>IMAGE("https://raw.githubusercontent.com/stautonico/pokemon-home-pokedex/main/sprites/dugtrio-alola.png", 2)</f>
        <v>0</v>
      </c>
      <c r="E204" s="40">
        <f>IMAGE("https://raw.githubusercontent.com/stautonico/pokemon-home-pokedex/main/sprites/meowth-alola.png", 2)</f>
        <v>0</v>
      </c>
      <c r="F204" s="40">
        <f>IMAGE("https://raw.githubusercontent.com/stautonico/pokemon-home-pokedex/main/sprites/persian-alola.png", 2)</f>
        <v>0</v>
      </c>
      <c r="G204" s="40">
        <f>IMAGE("https://raw.githubusercontent.com/stautonico/pokemon-home-pokedex/main/sprites/geodude-alola.png", 2)</f>
        <v>0</v>
      </c>
      <c r="I204" s="40">
        <f>IMAGE("https://raw.githubusercontent.com/stautonico/pokemon-home-pokedex/main/sprites/weezing-galar.png", 2)</f>
        <v>0</v>
      </c>
      <c r="J204" s="40">
        <f>IMAGE("https://raw.githubusercontent.com/stautonico/pokemon-home-pokedex/main/sprites/mrmime-galar.png", 2)</f>
        <v>0</v>
      </c>
      <c r="K204" s="40">
        <f>IMAGE("https://raw.githubusercontent.com/stautonico/pokemon-home-pokedex/main/sprites/articuno-galar.png", 2)</f>
        <v>0</v>
      </c>
      <c r="L204" s="40">
        <f>IMAGE("https://raw.githubusercontent.com/stautonico/pokemon-home-pokedex/main/sprites/zapdos-galar.png", 2)</f>
        <v>0</v>
      </c>
      <c r="M204" s="40">
        <f>IMAGE("https://raw.githubusercontent.com/stautonico/pokemon-home-pokedex/main/sprites/moltres-galar.png", 2)</f>
        <v>0</v>
      </c>
      <c r="N204" s="40">
        <f>IMAGE("https://raw.githubusercontent.com/stautonico/pokemon-home-pokedex/main/sprites/slowking-galar.png", 2)</f>
        <v>0</v>
      </c>
    </row>
    <row r="205" spans="2:14" ht="72" customHeight="1">
      <c r="B205" s="40">
        <f>IMAGE("https://raw.githubusercontent.com/stautonico/pokemon-home-pokedex/main/sprites/graveler-alola.png", 2)</f>
        <v>0</v>
      </c>
      <c r="C205" s="40">
        <f>IMAGE("https://raw.githubusercontent.com/stautonico/pokemon-home-pokedex/main/sprites/golem-alola.png", 2)</f>
        <v>0</v>
      </c>
      <c r="D205" s="40">
        <f>IMAGE("https://raw.githubusercontent.com/stautonico/pokemon-home-pokedex/main/sprites/grimer-alola.png", 2)</f>
        <v>0</v>
      </c>
      <c r="E205" s="40">
        <f>IMAGE("https://raw.githubusercontent.com/stautonico/pokemon-home-pokedex/main/sprites/muk-alola.png", 2)</f>
        <v>0</v>
      </c>
      <c r="F205" s="40">
        <f>IMAGE("https://raw.githubusercontent.com/stautonico/pokemon-home-pokedex/main/sprites/exeggutor-alola.png", 2)</f>
        <v>0</v>
      </c>
      <c r="G205" s="40">
        <f>IMAGE("https://raw.githubusercontent.com/stautonico/pokemon-home-pokedex/main/sprites/marowak-alola.png", 2)</f>
        <v>0</v>
      </c>
      <c r="I205" s="40">
        <f>IMAGE("https://raw.githubusercontent.com/stautonico/pokemon-home-pokedex/main/sprites/corsola-galar.png", 2)</f>
        <v>0</v>
      </c>
      <c r="J205" s="40">
        <f>IMAGE("https://raw.githubusercontent.com/stautonico/pokemon-home-pokedex/main/sprites/zigzagoon-galar.png", 2)</f>
        <v>0</v>
      </c>
      <c r="K205" s="40">
        <f>IMAGE("https://raw.githubusercontent.com/stautonico/pokemon-home-pokedex/main/sprites/linoone-galar.png", 2)</f>
        <v>0</v>
      </c>
      <c r="L205" s="40">
        <f>IMAGE("https://raw.githubusercontent.com/stautonico/pokemon-home-pokedex/main/sprites/darumaka-galar.png", 2)</f>
        <v>0</v>
      </c>
      <c r="M205" s="40">
        <f>IMAGE("https://raw.githubusercontent.com/stautonico/pokemon-home-pokedex/main/sprites/darmanitan-galar.png", 2)</f>
        <v>0</v>
      </c>
      <c r="N205" s="40">
        <f>IMAGE("https://raw.githubusercontent.com/stautonico/pokemon-home-pokedex/main/sprites/yamask-galar.png", 2)</f>
        <v>0</v>
      </c>
    </row>
    <row r="206" spans="2:14" ht="72" customHeight="1">
      <c r="B206" s="40"/>
      <c r="C206" s="40"/>
      <c r="D206" s="40"/>
      <c r="E206" s="40"/>
      <c r="F206" s="40"/>
      <c r="G206" s="40"/>
      <c r="I206" s="40">
        <f>IMAGE("https://raw.githubusercontent.com/stautonico/pokemon-home-pokedex/main/sprites/stunfisk-galar.png", 2)</f>
        <v>0</v>
      </c>
      <c r="J206" s="40"/>
      <c r="K206" s="40"/>
      <c r="L206" s="40"/>
      <c r="M206" s="40"/>
      <c r="N206" s="40"/>
    </row>
    <row r="207" spans="2:14" ht="72" customHeight="1">
      <c r="B207" s="40"/>
      <c r="C207" s="40"/>
      <c r="D207" s="40"/>
      <c r="E207" s="40"/>
      <c r="F207" s="40"/>
      <c r="G207" s="40"/>
      <c r="I207" s="40"/>
      <c r="J207" s="40"/>
      <c r="K207" s="40"/>
      <c r="L207" s="40"/>
      <c r="M207" s="40"/>
      <c r="N207" s="40"/>
    </row>
    <row r="210" spans="2:7">
      <c r="B210" s="39" t="s">
        <v>1372</v>
      </c>
    </row>
    <row r="211" spans="2:7" ht="72" customHeight="1">
      <c r="B211" s="40">
        <f>IMAGE("https://raw.githubusercontent.com/stautonico/pokemon-home-pokedex/main/sprites/growlithe-hisui.png", 2)</f>
        <v>0</v>
      </c>
      <c r="C211" s="40">
        <f>IMAGE("https://raw.githubusercontent.com/stautonico/pokemon-home-pokedex/main/sprites/arcanine-hisui.png", 2)</f>
        <v>0</v>
      </c>
      <c r="D211" s="40">
        <f>IMAGE("https://raw.githubusercontent.com/stautonico/pokemon-home-pokedex/main/sprites/voltorb-hisui.png", 2)</f>
        <v>0</v>
      </c>
      <c r="E211" s="40">
        <f>IMAGE("https://raw.githubusercontent.com/stautonico/pokemon-home-pokedex/main/sprites/electrode-hisui.png", 2)</f>
        <v>0</v>
      </c>
      <c r="F211" s="40">
        <f>IMAGE("https://raw.githubusercontent.com/stautonico/pokemon-home-pokedex/main/sprites/typhlosion-hisui.png", 2)</f>
        <v>0</v>
      </c>
      <c r="G211" s="40">
        <f>IMAGE("https://raw.githubusercontent.com/stautonico/pokemon-home-pokedex/main/sprites/qwilfish-hisui.png", 2)</f>
        <v>0</v>
      </c>
    </row>
    <row r="212" spans="2:7" ht="72" customHeight="1">
      <c r="B212" s="40">
        <f>IMAGE("https://raw.githubusercontent.com/stautonico/pokemon-home-pokedex/main/sprites/sneasel-hisui.png", 2)</f>
        <v>0</v>
      </c>
      <c r="C212" s="40">
        <f>IMAGE("https://raw.githubusercontent.com/stautonico/pokemon-home-pokedex/main/sprites/samurott-hisui.png", 2)</f>
        <v>0</v>
      </c>
      <c r="D212" s="40">
        <f>IMAGE("https://raw.githubusercontent.com/stautonico/pokemon-home-pokedex/main/sprites/lilligant-hisui.png", 2)</f>
        <v>0</v>
      </c>
      <c r="E212" s="40">
        <f>IMAGE("https://raw.githubusercontent.com/stautonico/pokemon-home-pokedex/main/sprites/basculin-white-striped.png", 2)</f>
        <v>0</v>
      </c>
      <c r="F212" s="40">
        <f>IMAGE("https://raw.githubusercontent.com/stautonico/pokemon-home-pokedex/main/sprites/zorua-hisui.png", 2)</f>
        <v>0</v>
      </c>
      <c r="G212" s="40">
        <f>IMAGE("https://raw.githubusercontent.com/stautonico/pokemon-home-pokedex/main/sprites/zoroark-hisui.png", 2)</f>
        <v>0</v>
      </c>
    </row>
    <row r="213" spans="2:7" ht="72" customHeight="1">
      <c r="B213" s="40">
        <f>IMAGE("https://raw.githubusercontent.com/stautonico/pokemon-home-pokedex/main/sprites/braviary-hisui.png", 2)</f>
        <v>0</v>
      </c>
      <c r="C213" s="40">
        <f>IMAGE("https://raw.githubusercontent.com/stautonico/pokemon-home-pokedex/main/sprites/sliggoo-hisui.png", 2)</f>
        <v>0</v>
      </c>
      <c r="D213" s="40">
        <f>IMAGE("https://raw.githubusercontent.com/stautonico/pokemon-home-pokedex/main/sprites/goodra-hisui.png", 2)</f>
        <v>0</v>
      </c>
      <c r="E213" s="40">
        <f>IMAGE("https://raw.githubusercontent.com/stautonico/pokemon-home-pokedex/main/sprites/avalugg-hisui.png", 2)</f>
        <v>0</v>
      </c>
      <c r="F213" s="40">
        <f>IMAGE("https://raw.githubusercontent.com/stautonico/pokemon-home-pokedex/main/sprites/decidueye-hisui.png", 2)</f>
        <v>0</v>
      </c>
      <c r="G213" s="40"/>
    </row>
    <row r="214" spans="2:7" ht="72" customHeight="1">
      <c r="B214" s="40"/>
      <c r="C214" s="40"/>
      <c r="D214" s="40"/>
      <c r="E214" s="40"/>
      <c r="F214" s="40"/>
      <c r="G214" s="40"/>
    </row>
    <row r="215" spans="2:7" ht="72" customHeight="1">
      <c r="B215" s="40"/>
      <c r="C215" s="40"/>
      <c r="D215" s="40"/>
      <c r="E215" s="40"/>
      <c r="F215" s="40"/>
      <c r="G215" s="40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2023-03-14T23:17:23Z</dcterms:created>
  <dcterms:modified xsi:type="dcterms:W3CDTF">2023-03-14T23:17:23Z</dcterms:modified>
</cp:coreProperties>
</file>