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<sst xmlns="http://schemas.openxmlformats.org/spreadsheetml/2006/main" count="377" uniqueCount="354">
  <si>
    <t xml:space="preserve">Species 1</t>
  </si>
  <si>
    <t xml:space="preserve">nidoranf</t>
  </si>
  <si>
    <t xml:space="preserve">Species 2</t>
  </si>
  <si>
    <t xml:space="preserve">nidoranm</t>
  </si>
  <si>
    <t xml:space="preserve">Species 3</t>
  </si>
  <si>
    <t xml:space="preserve">Species 4</t>
  </si>
  <si>
    <t xml:space="preserve">Species 5</t>
  </si>
  <si>
    <t xml:space="preserve">mrmime</t>
  </si>
  <si>
    <t xml:space="preserve">Species 6</t>
  </si>
  <si>
    <t xml:space="preserve">Species 7</t>
  </si>
  <si>
    <t xml:space="preserve">Species 8</t>
  </si>
  <si>
    <t xml:space="preserve">Species 9</t>
  </si>
  <si>
    <t xml:space="preserve">hooh</t>
  </si>
  <si>
    <t xml:space="preserve">Species 10</t>
  </si>
  <si>
    <t xml:space="preserve">Species 11</t>
  </si>
  <si>
    <t xml:space="preserve">Species 12</t>
  </si>
  <si>
    <t xml:space="preserve">Species 13</t>
  </si>
  <si>
    <t xml:space="preserve">deoxys</t>
  </si>
  <si>
    <t xml:space="preserve">Species 14</t>
  </si>
  <si>
    <t xml:space="preserve">wormadam</t>
  </si>
  <si>
    <t xml:space="preserve">Species 15</t>
  </si>
  <si>
    <t xml:space="preserve">mimejr</t>
  </si>
  <si>
    <t xml:space="preserve">Species 16</t>
  </si>
  <si>
    <t xml:space="preserve">porygonz</t>
  </si>
  <si>
    <t xml:space="preserve">Species 17</t>
  </si>
  <si>
    <t xml:space="preserve">giratina</t>
  </si>
  <si>
    <t xml:space="preserve">shaymin</t>
  </si>
  <si>
    <t xml:space="preserve">Species 18</t>
  </si>
  <si>
    <t xml:space="preserve">Species 19</t>
  </si>
  <si>
    <t xml:space="preserve">basculin</t>
  </si>
  <si>
    <t xml:space="preserve">darmanitan</t>
  </si>
  <si>
    <t xml:space="preserve">Species 20</t>
  </si>
  <si>
    <t xml:space="preserve">Species 21</t>
  </si>
  <si>
    <t xml:space="preserve">Species 22</t>
  </si>
  <si>
    <t xml:space="preserve">tornadus</t>
  </si>
  <si>
    <t xml:space="preserve">thundurus</t>
  </si>
  <si>
    <t xml:space="preserve">landorus</t>
  </si>
  <si>
    <t xml:space="preserve">keldeo</t>
  </si>
  <si>
    <t xml:space="preserve">meloetta</t>
  </si>
  <si>
    <t xml:space="preserve">Species 23</t>
  </si>
  <si>
    <t xml:space="preserve">meowstic</t>
  </si>
  <si>
    <t xml:space="preserve">aegislash</t>
  </si>
  <si>
    <t xml:space="preserve">Species 24</t>
  </si>
  <si>
    <t xml:space="preserve">pumpkaboo</t>
  </si>
  <si>
    <t xml:space="preserve">gourgeist</t>
  </si>
  <si>
    <t xml:space="preserve">zygarde</t>
  </si>
  <si>
    <t xml:space="preserve">Species 25</t>
  </si>
  <si>
    <t xml:space="preserve">oricorio</t>
  </si>
  <si>
    <t xml:space="preserve">lycanroc</t>
  </si>
  <si>
    <t xml:space="preserve">wishiwashi</t>
  </si>
  <si>
    <t xml:space="preserve">Species 26</t>
  </si>
  <si>
    <t xml:space="preserve">typenull</t>
  </si>
  <si>
    <t xml:space="preserve">mimikyu</t>
  </si>
  <si>
    <t xml:space="preserve">Species 27</t>
  </si>
  <si>
    <t xml:space="preserve">jangmoo</t>
  </si>
  <si>
    <t xml:space="preserve">hakamoo</t>
  </si>
  <si>
    <t xml:space="preserve">kommoo</t>
  </si>
  <si>
    <t xml:space="preserve">tapukoko</t>
  </si>
  <si>
    <t xml:space="preserve">tapulele</t>
  </si>
  <si>
    <t xml:space="preserve">tapubulu</t>
  </si>
  <si>
    <t xml:space="preserve">tapufini</t>
  </si>
  <si>
    <t xml:space="preserve">Species 28</t>
  </si>
  <si>
    <t xml:space="preserve">Species 29</t>
  </si>
  <si>
    <t xml:space="preserve">toxtricity</t>
  </si>
  <si>
    <t xml:space="preserve">mrrime</t>
  </si>
  <si>
    <t xml:space="preserve">Species 30</t>
  </si>
  <si>
    <t xml:space="preserve">eiscue</t>
  </si>
  <si>
    <t xml:space="preserve">indeedee</t>
  </si>
  <si>
    <t xml:space="preserve">morpeko</t>
  </si>
  <si>
    <t xml:space="preserve">urshifu</t>
  </si>
  <si>
    <t xml:space="preserve">Species 31</t>
  </si>
  <si>
    <t xml:space="preserve">basculegion</t>
  </si>
  <si>
    <t xml:space="preserve">enamorus</t>
  </si>
  <si>
    <t xml:space="preserve">Females (1)</t>
  </si>
  <si>
    <t xml:space="preserve">venusaur-f</t>
  </si>
  <si>
    <t xml:space="preserve">butterfree-f</t>
  </si>
  <si>
    <t xml:space="preserve">rattata-f</t>
  </si>
  <si>
    <t xml:space="preserve">raticate-f</t>
  </si>
  <si>
    <t xml:space="preserve">pikachu-f</t>
  </si>
  <si>
    <t xml:space="preserve">raichu-f</t>
  </si>
  <si>
    <t xml:space="preserve">zubat-f</t>
  </si>
  <si>
    <t xml:space="preserve">golbat-f</t>
  </si>
  <si>
    <t xml:space="preserve">gloom-f</t>
  </si>
  <si>
    <t xml:space="preserve">vileplume-f</t>
  </si>
  <si>
    <t xml:space="preserve">kadabra-f</t>
  </si>
  <si>
    <t xml:space="preserve">alakazam-f</t>
  </si>
  <si>
    <t xml:space="preserve">doduo-f</t>
  </si>
  <si>
    <t xml:space="preserve">dodrio-f</t>
  </si>
  <si>
    <t xml:space="preserve">hypno-f</t>
  </si>
  <si>
    <t xml:space="preserve">rhyhorn-f</t>
  </si>
  <si>
    <t xml:space="preserve">rhydon-f</t>
  </si>
  <si>
    <t xml:space="preserve">goldeen-f</t>
  </si>
  <si>
    <t xml:space="preserve">seaking-f</t>
  </si>
  <si>
    <t xml:space="preserve">scyther-f</t>
  </si>
  <si>
    <t xml:space="preserve">magikarp-f</t>
  </si>
  <si>
    <t xml:space="preserve">gyarados-f</t>
  </si>
  <si>
    <t xml:space="preserve">eevee-f</t>
  </si>
  <si>
    <t xml:space="preserve">meganium-f</t>
  </si>
  <si>
    <t xml:space="preserve">ledyba-f</t>
  </si>
  <si>
    <t xml:space="preserve">ledian-f</t>
  </si>
  <si>
    <t xml:space="preserve">xatu-f</t>
  </si>
  <si>
    <t xml:space="preserve">sudowoodo-f</t>
  </si>
  <si>
    <t xml:space="preserve">politoed-f</t>
  </si>
  <si>
    <t xml:space="preserve">aipom-f</t>
  </si>
  <si>
    <t xml:space="preserve">Females (2)</t>
  </si>
  <si>
    <t xml:space="preserve">wooper-f</t>
  </si>
  <si>
    <t xml:space="preserve">quagsire-f</t>
  </si>
  <si>
    <t xml:space="preserve">murkrow-f</t>
  </si>
  <si>
    <t xml:space="preserve">wobbuffet-f</t>
  </si>
  <si>
    <t xml:space="preserve">girafarig-f</t>
  </si>
  <si>
    <t xml:space="preserve">gligar-f</t>
  </si>
  <si>
    <t xml:space="preserve">steelix-f</t>
  </si>
  <si>
    <t xml:space="preserve">scizor-f</t>
  </si>
  <si>
    <t xml:space="preserve">heracross-f</t>
  </si>
  <si>
    <t xml:space="preserve">sneasel-f</t>
  </si>
  <si>
    <t xml:space="preserve">sneasel-hisui-f</t>
  </si>
  <si>
    <t xml:space="preserve">ursaring-f</t>
  </si>
  <si>
    <t xml:space="preserve">piloswine-f</t>
  </si>
  <si>
    <t xml:space="preserve">octillery-f</t>
  </si>
  <si>
    <t xml:space="preserve">houndoom-f</t>
  </si>
  <si>
    <t xml:space="preserve">donphan-f</t>
  </si>
  <si>
    <t xml:space="preserve">torchic-f</t>
  </si>
  <si>
    <t xml:space="preserve">combusken-f</t>
  </si>
  <si>
    <t xml:space="preserve">blaziken-f</t>
  </si>
  <si>
    <t xml:space="preserve">beautifly-f</t>
  </si>
  <si>
    <t xml:space="preserve">dustox-f</t>
  </si>
  <si>
    <t xml:space="preserve">ludicolo-f</t>
  </si>
  <si>
    <t xml:space="preserve">nuzleaf-f</t>
  </si>
  <si>
    <t xml:space="preserve">shiftry-f</t>
  </si>
  <si>
    <t xml:space="preserve">meditite-f</t>
  </si>
  <si>
    <t xml:space="preserve">medicham-f</t>
  </si>
  <si>
    <t xml:space="preserve">roselia-f</t>
  </si>
  <si>
    <t xml:space="preserve">gulpin-f</t>
  </si>
  <si>
    <t xml:space="preserve">swalot-f</t>
  </si>
  <si>
    <t xml:space="preserve">numel-f</t>
  </si>
  <si>
    <t xml:space="preserve">Females (3)</t>
  </si>
  <si>
    <t xml:space="preserve">camerupt-f</t>
  </si>
  <si>
    <t xml:space="preserve">cacturne-f</t>
  </si>
  <si>
    <t xml:space="preserve">milotic-f</t>
  </si>
  <si>
    <t xml:space="preserve">relicanth-f</t>
  </si>
  <si>
    <t xml:space="preserve">starly-f</t>
  </si>
  <si>
    <t xml:space="preserve">staravia-f</t>
  </si>
  <si>
    <t xml:space="preserve">staraptor-f</t>
  </si>
  <si>
    <t xml:space="preserve">bidoof-f</t>
  </si>
  <si>
    <t xml:space="preserve">bibarel-f</t>
  </si>
  <si>
    <t xml:space="preserve">kricketot-f</t>
  </si>
  <si>
    <t xml:space="preserve">kricketune-f</t>
  </si>
  <si>
    <t xml:space="preserve">shinx-f</t>
  </si>
  <si>
    <t xml:space="preserve">luxio-f</t>
  </si>
  <si>
    <t xml:space="preserve">luxray-f</t>
  </si>
  <si>
    <t xml:space="preserve">roserade-f</t>
  </si>
  <si>
    <t xml:space="preserve">combee-f</t>
  </si>
  <si>
    <t xml:space="preserve">pachirisu-f</t>
  </si>
  <si>
    <t xml:space="preserve">buizel-f</t>
  </si>
  <si>
    <t xml:space="preserve">floatzel-f</t>
  </si>
  <si>
    <t xml:space="preserve">ambipom-f</t>
  </si>
  <si>
    <t xml:space="preserve">gible-f</t>
  </si>
  <si>
    <t xml:space="preserve">gabite-f</t>
  </si>
  <si>
    <t xml:space="preserve">garchomp-f</t>
  </si>
  <si>
    <t xml:space="preserve">hippopotas-f</t>
  </si>
  <si>
    <t xml:space="preserve">hippowdon-f</t>
  </si>
  <si>
    <t xml:space="preserve">croagunk-f</t>
  </si>
  <si>
    <t xml:space="preserve">toxicroak-f</t>
  </si>
  <si>
    <t xml:space="preserve">finneon-f</t>
  </si>
  <si>
    <t xml:space="preserve">lumineon-f</t>
  </si>
  <si>
    <t xml:space="preserve">snover-f</t>
  </si>
  <si>
    <t xml:space="preserve">Females (4)</t>
  </si>
  <si>
    <t xml:space="preserve">abomasnow-f</t>
  </si>
  <si>
    <t xml:space="preserve">weavile-f</t>
  </si>
  <si>
    <t xml:space="preserve">rhyperior-f</t>
  </si>
  <si>
    <t xml:space="preserve">tangrowth-f</t>
  </si>
  <si>
    <t xml:space="preserve">mamoswine-f</t>
  </si>
  <si>
    <t xml:space="preserve">unfezant-f</t>
  </si>
  <si>
    <t xml:space="preserve">frillish-f</t>
  </si>
  <si>
    <t xml:space="preserve">jellicent-f</t>
  </si>
  <si>
    <t xml:space="preserve">pyroar-f</t>
  </si>
  <si>
    <t xml:space="preserve">meowstic-f</t>
  </si>
  <si>
    <t xml:space="preserve">indeedee-f</t>
  </si>
  <si>
    <t xml:space="preserve">basculegion-f</t>
  </si>
  <si>
    <t xml:space="preserve">Pikachu Forms</t>
  </si>
  <si>
    <t xml:space="preserve">pikachu-original</t>
  </si>
  <si>
    <t xml:space="preserve">pikachu-hoenn</t>
  </si>
  <si>
    <t xml:space="preserve">pikachu-sinnoh</t>
  </si>
  <si>
    <t xml:space="preserve">pikachu-unova</t>
  </si>
  <si>
    <t xml:space="preserve">pikachu-kalos</t>
  </si>
  <si>
    <t xml:space="preserve">pikachu-alola</t>
  </si>
  <si>
    <t xml:space="preserve">pikachu-partner</t>
  </si>
  <si>
    <t xml:space="preserve">pikachu-world</t>
  </si>
  <si>
    <t xml:space="preserve">UnownDex</t>
  </si>
  <si>
    <t xml:space="preserve">unown-b</t>
  </si>
  <si>
    <t xml:space="preserve">unown-c</t>
  </si>
  <si>
    <t xml:space="preserve">unown-d</t>
  </si>
  <si>
    <t xml:space="preserve">unown-e</t>
  </si>
  <si>
    <t xml:space="preserve">unown-f</t>
  </si>
  <si>
    <t xml:space="preserve">unown-g</t>
  </si>
  <si>
    <t xml:space="preserve">unown-h</t>
  </si>
  <si>
    <t xml:space="preserve">unown-i</t>
  </si>
  <si>
    <t xml:space="preserve">unown-j</t>
  </si>
  <si>
    <t xml:space="preserve">unown-k</t>
  </si>
  <si>
    <t xml:space="preserve">unown-l</t>
  </si>
  <si>
    <t xml:space="preserve">unown-m</t>
  </si>
  <si>
    <t xml:space="preserve">unown-n</t>
  </si>
  <si>
    <t xml:space="preserve">unown-o</t>
  </si>
  <si>
    <t xml:space="preserve">unown-p</t>
  </si>
  <si>
    <t xml:space="preserve">unown-q</t>
  </si>
  <si>
    <t xml:space="preserve">unown-r</t>
  </si>
  <si>
    <t xml:space="preserve">unown-s</t>
  </si>
  <si>
    <t xml:space="preserve">unown-t</t>
  </si>
  <si>
    <t xml:space="preserve">unown-u</t>
  </si>
  <si>
    <t xml:space="preserve">unown-v</t>
  </si>
  <si>
    <t xml:space="preserve">unown-w</t>
  </si>
  <si>
    <t xml:space="preserve">unown-x</t>
  </si>
  <si>
    <t xml:space="preserve">unown-y</t>
  </si>
  <si>
    <t xml:space="preserve">unown-z</t>
  </si>
  <si>
    <t xml:space="preserve">unown-exclamation</t>
  </si>
  <si>
    <t xml:space="preserve">unown-question</t>
  </si>
  <si>
    <t xml:space="preserve">Gen 3 &amp; 4 Forms</t>
  </si>
  <si>
    <t xml:space="preserve">burmy-sandy</t>
  </si>
  <si>
    <t xml:space="preserve">burmy-trash</t>
  </si>
  <si>
    <t xml:space="preserve">shellos-east</t>
  </si>
  <si>
    <t xml:space="preserve">gastrodon-east</t>
  </si>
  <si>
    <t xml:space="preserve">Gen 5 Forms</t>
  </si>
  <si>
    <t xml:space="preserve">deerling-summer</t>
  </si>
  <si>
    <t xml:space="preserve">deerling-autumn</t>
  </si>
  <si>
    <t xml:space="preserve">deerling-winter</t>
  </si>
  <si>
    <t xml:space="preserve">sawsbuck-summer</t>
  </si>
  <si>
    <t xml:space="preserve">sawsbuck-autumn</t>
  </si>
  <si>
    <t xml:space="preserve">sawsbuck-winter</t>
  </si>
  <si>
    <t xml:space="preserve">Gen 6 Forms (1)</t>
  </si>
  <si>
    <t xml:space="preserve">furfrou-heart</t>
  </si>
  <si>
    <t xml:space="preserve">furfrou-star</t>
  </si>
  <si>
    <t xml:space="preserve">furfrou-diamond</t>
  </si>
  <si>
    <t xml:space="preserve">furfrou-debutante</t>
  </si>
  <si>
    <t xml:space="preserve">furfrou-matron</t>
  </si>
  <si>
    <t xml:space="preserve">furfrou-dandy</t>
  </si>
  <si>
    <t xml:space="preserve">furfrou-la-reine</t>
  </si>
  <si>
    <t xml:space="preserve">furfrou-kabuki</t>
  </si>
  <si>
    <t xml:space="preserve">furfrou-pharaoh</t>
  </si>
  <si>
    <t xml:space="preserve">Gen 6 Forms (2)</t>
  </si>
  <si>
    <t xml:space="preserve">flabebe-yellow</t>
  </si>
  <si>
    <t xml:space="preserve">flabebe-orange</t>
  </si>
  <si>
    <t xml:space="preserve">flabebe-blue</t>
  </si>
  <si>
    <t xml:space="preserve">flabebe-white</t>
  </si>
  <si>
    <t xml:space="preserve">floette-yellow</t>
  </si>
  <si>
    <t xml:space="preserve">floette-orange</t>
  </si>
  <si>
    <t xml:space="preserve">floette-blue</t>
  </si>
  <si>
    <t xml:space="preserve">floette-white</t>
  </si>
  <si>
    <t xml:space="preserve">florges-yellow</t>
  </si>
  <si>
    <t xml:space="preserve">florges-orange</t>
  </si>
  <si>
    <t xml:space="preserve">florges-blue</t>
  </si>
  <si>
    <t xml:space="preserve">florges-white</t>
  </si>
  <si>
    <t xml:space="preserve">greninja--battle-bond</t>
  </si>
  <si>
    <t xml:space="preserve">zygarde-10</t>
  </si>
  <si>
    <t xml:space="preserve">zygarde--power-construct</t>
  </si>
  <si>
    <t xml:space="preserve">zygarde-10--power-construct</t>
  </si>
  <si>
    <t xml:space="preserve">Vivillon Forms</t>
  </si>
  <si>
    <t xml:space="preserve">vivillon-polar</t>
  </si>
  <si>
    <t xml:space="preserve">vivillon-tundra</t>
  </si>
  <si>
    <t xml:space="preserve">vivillon-continental</t>
  </si>
  <si>
    <t xml:space="preserve">vivillon-garden</t>
  </si>
  <si>
    <t xml:space="preserve">vivillon-elegant</t>
  </si>
  <si>
    <t xml:space="preserve">vivillon-meadow</t>
  </si>
  <si>
    <t xml:space="preserve">vivillon-modern</t>
  </si>
  <si>
    <t xml:space="preserve">vivillon-marine</t>
  </si>
  <si>
    <t xml:space="preserve">vivillon-archipelago</t>
  </si>
  <si>
    <t xml:space="preserve">vivillon-high-plains</t>
  </si>
  <si>
    <t xml:space="preserve">vivillon-sandstorm</t>
  </si>
  <si>
    <t xml:space="preserve">vivillon-river</t>
  </si>
  <si>
    <t xml:space="preserve">vivillon-monsoon</t>
  </si>
  <si>
    <t xml:space="preserve">vivillon-savanna</t>
  </si>
  <si>
    <t xml:space="preserve">vivillon-sun</t>
  </si>
  <si>
    <t xml:space="preserve">vivillon-ocean</t>
  </si>
  <si>
    <t xml:space="preserve">vivillon-jungle</t>
  </si>
  <si>
    <t xml:space="preserve">vivillon-fancy</t>
  </si>
  <si>
    <t xml:space="preserve">vivillon-pokeball</t>
  </si>
  <si>
    <t xml:space="preserve">Gen 7 Forms</t>
  </si>
  <si>
    <t xml:space="preserve">rockruff--own-tempo</t>
  </si>
  <si>
    <t xml:space="preserve">Gen 8 Forms</t>
  </si>
  <si>
    <t xml:space="preserve">sinistea-antique</t>
  </si>
  <si>
    <t xml:space="preserve">polteageist-antique</t>
  </si>
  <si>
    <t xml:space="preserve">zarude-dada</t>
  </si>
  <si>
    <t xml:space="preserve">Alcremie (1)</t>
  </si>
  <si>
    <t xml:space="preserve">alcremie-vanilla-cream-berry</t>
  </si>
  <si>
    <t xml:space="preserve">alcremie-vanilla-cream-love</t>
  </si>
  <si>
    <t xml:space="preserve">alcremie-vanilla-cream-star</t>
  </si>
  <si>
    <t xml:space="preserve">alcremie-vanilla-cream-clover</t>
  </si>
  <si>
    <t xml:space="preserve">alcremie-vanilla-cream-flower</t>
  </si>
  <si>
    <t xml:space="preserve">alcremie-vanilla-cream-ribbon</t>
  </si>
  <si>
    <t xml:space="preserve">alcremie-ruby-cream-strawberry</t>
  </si>
  <si>
    <t xml:space="preserve">alcremie-ruby-cream-berry</t>
  </si>
  <si>
    <t xml:space="preserve">alcremie-ruby-cream-love</t>
  </si>
  <si>
    <t xml:space="preserve">alcremie-ruby-cream-star</t>
  </si>
  <si>
    <t xml:space="preserve">alcremie-ruby-cream-clover</t>
  </si>
  <si>
    <t xml:space="preserve">alcremie-ruby-cream-flower</t>
  </si>
  <si>
    <t xml:space="preserve">alcremie-ruby-cream-ribbon</t>
  </si>
  <si>
    <t xml:space="preserve">alcremie-matcha-cream-strawberry</t>
  </si>
  <si>
    <t xml:space="preserve">alcremie-matcha-cream-berry</t>
  </si>
  <si>
    <t xml:space="preserve">alcremie-matcha-cream-love</t>
  </si>
  <si>
    <t xml:space="preserve">alcremie-matcha-cream-star</t>
  </si>
  <si>
    <t xml:space="preserve">alcremie-matcha-cream-clover</t>
  </si>
  <si>
    <t xml:space="preserve">alcremie-matcha-cream-flower</t>
  </si>
  <si>
    <t xml:space="preserve">alcremie-matcha-cream-ribbon</t>
  </si>
  <si>
    <t xml:space="preserve">alcremie-mint-cream-strawberry</t>
  </si>
  <si>
    <t xml:space="preserve">alcremie-mint-cream-berry</t>
  </si>
  <si>
    <t xml:space="preserve">alcremie-mint-cream-love</t>
  </si>
  <si>
    <t xml:space="preserve">alcremie-mint-cream-star</t>
  </si>
  <si>
    <t xml:space="preserve">alcremie-mint-cream-clover</t>
  </si>
  <si>
    <t xml:space="preserve">alcremie-mint-cream-flower</t>
  </si>
  <si>
    <t xml:space="preserve">alcremie-mint-cream-ribbon</t>
  </si>
  <si>
    <t xml:space="preserve">Alcremie (2)</t>
  </si>
  <si>
    <t xml:space="preserve">alcremie-lemon-cream-strawberry</t>
  </si>
  <si>
    <t xml:space="preserve">alcremie-lemon-cream-berry</t>
  </si>
  <si>
    <t xml:space="preserve">alcremie-lemon-cream-love</t>
  </si>
  <si>
    <t xml:space="preserve">alcremie-lemon-cream-star</t>
  </si>
  <si>
    <t xml:space="preserve">alcremie-lemon-cream-clover</t>
  </si>
  <si>
    <t xml:space="preserve">alcremie-lemon-cream-flower</t>
  </si>
  <si>
    <t xml:space="preserve">alcremie-lemon-cream-ribbon</t>
  </si>
  <si>
    <t xml:space="preserve">alcremie-salted-cream-strawberry</t>
  </si>
  <si>
    <t xml:space="preserve">alcremie-salted-cream-berry</t>
  </si>
  <si>
    <t xml:space="preserve">alcremie-salted-cream-love</t>
  </si>
  <si>
    <t xml:space="preserve">alcremie-salted-cream-star</t>
  </si>
  <si>
    <t xml:space="preserve">alcremie-salted-cream-clover</t>
  </si>
  <si>
    <t xml:space="preserve">alcremie-salted-cream-flower</t>
  </si>
  <si>
    <t xml:space="preserve">alcremie-salted-cream-ribbon</t>
  </si>
  <si>
    <t xml:space="preserve">alcremie-ruby-swirl-strawberry</t>
  </si>
  <si>
    <t xml:space="preserve">alcremie-ruby-swirl-berry</t>
  </si>
  <si>
    <t xml:space="preserve">alcremie-ruby-swirl-love</t>
  </si>
  <si>
    <t xml:space="preserve">alcremie-ruby-swirl-star</t>
  </si>
  <si>
    <t xml:space="preserve">alcremie-ruby-swirl-clover</t>
  </si>
  <si>
    <t xml:space="preserve">alcremie-ruby-swirl-flower</t>
  </si>
  <si>
    <t xml:space="preserve">alcremie-ruby-swirl-ribbon</t>
  </si>
  <si>
    <t xml:space="preserve">alcremie-caramel-swirl-strawberry</t>
  </si>
  <si>
    <t xml:space="preserve">alcremie-caramel-swirl-berry</t>
  </si>
  <si>
    <t xml:space="preserve">alcremie-caramel-swirl-love</t>
  </si>
  <si>
    <t xml:space="preserve">alcremie-caramel-swirl-star</t>
  </si>
  <si>
    <t xml:space="preserve">alcremie-caramel-swirl-clover</t>
  </si>
  <si>
    <t xml:space="preserve">alcremie-caramel-swirl-flower</t>
  </si>
  <si>
    <t xml:space="preserve">alcremie-caramel-swirl-ribbon</t>
  </si>
  <si>
    <t xml:space="preserve">Alcremie (3)</t>
  </si>
  <si>
    <t xml:space="preserve">alcremie-rainbow-swirl-strawberry</t>
  </si>
  <si>
    <t xml:space="preserve">alcremie-rainbow-swirl-berry</t>
  </si>
  <si>
    <t xml:space="preserve">alcremie-rainbow-swirl-love</t>
  </si>
  <si>
    <t xml:space="preserve">alcremie-rainbow-swirl-star</t>
  </si>
  <si>
    <t xml:space="preserve">alcremie-rainbow-swirl-clover</t>
  </si>
  <si>
    <t xml:space="preserve">alcremie-rainbow-swirl-flower</t>
  </si>
  <si>
    <t xml:space="preserve">alcremie-rainbow-swirl-ribbon</t>
  </si>
  <si>
    <t xml:space="preserve">Gigantamax 1</t>
  </si>
  <si>
    <t xml:space="preserve">Gigantamax 2</t>
  </si>
  <si>
    <t xml:space="preserve">Gen 9 Forms</t>
  </si>
  <si>
    <t xml:space="preserve">Alolan Forms</t>
  </si>
  <si>
    <t xml:space="preserve">Galarian Forms</t>
  </si>
  <si>
    <t xml:space="preserve">mrmime-galar</t>
  </si>
  <si>
    <t xml:space="preserve">darmanitan-galar</t>
  </si>
  <si>
    <t xml:space="preserve">Hisuian Forms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</si>
</sst>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5" hidden="false" customHeight="false" outlineLevel="0" collapsed="false">
      <c r="A2" s="0" t="n">
        <f aca="false">image("http://localhost:8000/sprites/bulbasaur.png", 4)</f>
        <v>0</v>
      </c>
      <c r="B2" s="0" t="n">
        <f aca="false">image("http://localhost:8000/sprites/ivysaur.png", 4)</f>
        <v>0</v>
      </c>
      <c r="C2" s="0" t="n">
        <f aca="false">image("http://localhost:8000/sprites/venusaur.png", 4)</f>
        <v>0</v>
      </c>
      <c r="D2" s="0" t="n">
        <f aca="false">image("http://localhost:8000/sprites/charmander.png", 4)</f>
        <v>0</v>
      </c>
      <c r="E2" s="0" t="n">
        <f aca="false">image("http://localhost:8000/sprites/charmeleon.png", 4)</f>
        <v>0</v>
      </c>
      <c r="F2" s="0" t="n">
        <f aca="false">image("http://localhost:8000/sprites/charizard.png", 4)</f>
        <v>0</v>
      </c>
    </row>
    <row r="3" customFormat="false" ht="15" hidden="false" customHeight="false" outlineLevel="0" collapsed="false">
      <c r="A3" s="0" t="n">
        <f aca="false">image("http://localhost:8000/sprites/squirtle.png", 4)</f>
        <v>0</v>
      </c>
      <c r="B3" s="0" t="n">
        <f aca="false">image("http://localhost:8000/sprites/wartortle.png", 4)</f>
        <v>0</v>
      </c>
      <c r="C3" s="0" t="n">
        <f aca="false">image("http://localhost:8000/sprites/blastoise.png", 4)</f>
        <v>0</v>
      </c>
      <c r="D3" s="0" t="n">
        <f aca="false">image("http://localhost:8000/sprites/caterpie.png", 4)</f>
        <v>0</v>
      </c>
      <c r="E3" s="0" t="n">
        <f aca="false">image("http://localhost:8000/sprites/metapod.png", 4)</f>
        <v>0</v>
      </c>
      <c r="F3" s="0" t="n">
        <f aca="false">image("http://localhost:8000/sprites/butterfree.png", 4)</f>
        <v>0</v>
      </c>
    </row>
    <row r="4" customFormat="false" ht="15" hidden="false" customHeight="false" outlineLevel="0" collapsed="false">
      <c r="A4" s="0" t="n">
        <f aca="false">image("http://localhost:8000/sprites/weedle.png", 4)</f>
        <v>0</v>
      </c>
      <c r="B4" s="0" t="n">
        <f aca="false">image("http://localhost:8000/sprites/kakuna.png", 4)</f>
        <v>0</v>
      </c>
      <c r="C4" s="0" t="n">
        <f aca="false">image("http://localhost:8000/sprites/beedrill.png", 4)</f>
        <v>0</v>
      </c>
      <c r="D4" s="0" t="n">
        <f aca="false">image("http://localhost:8000/sprites/pidgey.png", 4)</f>
        <v>0</v>
      </c>
      <c r="E4" s="0" t="n">
        <f aca="false">image("http://localhost:8000/sprites/pidgeotto.png", 4)</f>
        <v>0</v>
      </c>
      <c r="F4" s="0" t="n">
        <f aca="false">image("http://localhost:8000/sprites/pidgeot.png", 4)</f>
        <v>0</v>
      </c>
    </row>
    <row r="5" customFormat="false" ht="15" hidden="false" customHeight="false" outlineLevel="0" collapsed="false">
      <c r="A5" s="0" t="n">
        <f aca="false">image("http://localhost:8000/sprites/rattata.png", 4)</f>
        <v>0</v>
      </c>
      <c r="B5" s="0" t="n">
        <f aca="false">image("http://localhost:8000/sprites/raticate.png", 4)</f>
        <v>0</v>
      </c>
      <c r="C5" s="0" t="n">
        <f aca="false">image("http://localhost:8000/sprites/spearow.png", 4)</f>
        <v>0</v>
      </c>
      <c r="D5" s="0" t="n">
        <f aca="false">image("http://localhost:8000/sprites/fearow.png", 4)</f>
        <v>0</v>
      </c>
      <c r="E5" s="0" t="n">
        <f aca="false">image("http://localhost:8000/sprites/ekans.png", 4)</f>
        <v>0</v>
      </c>
      <c r="F5" s="0" t="n">
        <f aca="false">image("http://localhost:8000/sprites/arbok.png", 4)</f>
        <v>0</v>
      </c>
    </row>
    <row r="6" customFormat="false" ht="15" hidden="false" customHeight="false" outlineLevel="0" collapsed="false">
      <c r="A6" s="0" t="n">
        <f aca="false">image("http://localhost:8000/sprites/pikachu.png", 4)</f>
        <v>0</v>
      </c>
      <c r="B6" s="0" t="n">
        <f aca="false">image("http://localhost:8000/sprites/raichu.png", 4)</f>
        <v>0</v>
      </c>
      <c r="C6" s="0" t="n">
        <f aca="false">image("http://localhost:8000/sprites/sandshrew.png", 4)</f>
        <v>0</v>
      </c>
      <c r="D6" s="0" t="n">
        <f aca="false">image("http://localhost:8000/sprites/sandslash.png", 4)</f>
        <v>0</v>
      </c>
      <c r="E6" s="0" t="s">
        <v>1</v>
      </c>
      <c r="F6" s="0" t="n">
        <f aca="false">image("http://localhost:8000/sprites/nidorina.png", 4)</f>
        <v>0</v>
      </c>
    </row>
    <row r="9" customFormat="false" ht="15" hidden="false" customHeight="false" outlineLevel="0" collapsed="false">
      <c r="A9" s="1" t="s">
        <v>2</v>
      </c>
      <c r="B9" s="1"/>
      <c r="C9" s="1"/>
      <c r="D9" s="1"/>
      <c r="E9" s="1"/>
      <c r="F9" s="1"/>
    </row>
    <row r="10" customFormat="false" ht="15" hidden="false" customHeight="false" outlineLevel="0" collapsed="false">
      <c r="A10" s="0" t="n">
        <f aca="false">image("http://localhost:8000/sprites/nidoqueen.png", 4)</f>
        <v>0</v>
      </c>
      <c r="B10" s="0" t="s">
        <v>3</v>
      </c>
      <c r="C10" s="0" t="n">
        <f aca="false">image("http://localhost:8000/sprites/nidorino.png", 4)</f>
        <v>0</v>
      </c>
      <c r="D10" s="0" t="n">
        <f aca="false">image("http://localhost:8000/sprites/nidoking.png", 4)</f>
        <v>0</v>
      </c>
      <c r="E10" s="0" t="n">
        <f aca="false">image("http://localhost:8000/sprites/clefairy.png", 4)</f>
        <v>0</v>
      </c>
      <c r="F10" s="0" t="n">
        <f aca="false">image("http://localhost:8000/sprites/clefable.png", 4)</f>
        <v>0</v>
      </c>
    </row>
    <row r="11" customFormat="false" ht="15" hidden="false" customHeight="false" outlineLevel="0" collapsed="false">
      <c r="A11" s="0" t="n">
        <f aca="false">image("http://localhost:8000/sprites/vulpix.png", 4)</f>
        <v>0</v>
      </c>
      <c r="B11" s="0" t="n">
        <f aca="false">image("http://localhost:8000/sprites/ninetales.png", 4)</f>
        <v>0</v>
      </c>
      <c r="C11" s="0" t="n">
        <f aca="false">image("http://localhost:8000/sprites/jigglypuff.png", 4)</f>
        <v>0</v>
      </c>
      <c r="D11" s="0" t="n">
        <f aca="false">image("http://localhost:8000/sprites/wigglytuff.png", 4)</f>
        <v>0</v>
      </c>
      <c r="E11" s="0" t="n">
        <f aca="false">image("http://localhost:8000/sprites/zubat.png", 4)</f>
        <v>0</v>
      </c>
      <c r="F11" s="0" t="n">
        <f aca="false">image("http://localhost:8000/sprites/golbat.png", 4)</f>
        <v>0</v>
      </c>
    </row>
    <row r="12" customFormat="false" ht="15" hidden="false" customHeight="false" outlineLevel="0" collapsed="false">
      <c r="A12" s="0" t="n">
        <f aca="false">image("http://localhost:8000/sprites/oddish.png", 4)</f>
        <v>0</v>
      </c>
      <c r="B12" s="0" t="n">
        <f aca="false">image("http://localhost:8000/sprites/gloom.png", 4)</f>
        <v>0</v>
      </c>
      <c r="C12" s="0" t="n">
        <f aca="false">image("http://localhost:8000/sprites/vileplume.png", 4)</f>
        <v>0</v>
      </c>
      <c r="D12" s="0" t="n">
        <f aca="false">image("http://localhost:8000/sprites/paras.png", 4)</f>
        <v>0</v>
      </c>
      <c r="E12" s="0" t="n">
        <f aca="false">image("http://localhost:8000/sprites/parasect.png", 4)</f>
        <v>0</v>
      </c>
      <c r="F12" s="0" t="n">
        <f aca="false">image("http://localhost:8000/sprites/venonat.png", 4)</f>
        <v>0</v>
      </c>
    </row>
    <row r="13" customFormat="false" ht="15" hidden="false" customHeight="false" outlineLevel="0" collapsed="false">
      <c r="A13" s="0" t="n">
        <f aca="false">image("http://localhost:8000/sprites/venomoth.png", 4)</f>
        <v>0</v>
      </c>
      <c r="B13" s="0" t="n">
        <f aca="false">image("http://localhost:8000/sprites/diglett.png", 4)</f>
        <v>0</v>
      </c>
      <c r="C13" s="0" t="n">
        <f aca="false">image("http://localhost:8000/sprites/dugtrio.png", 4)</f>
        <v>0</v>
      </c>
      <c r="D13" s="0" t="n">
        <f aca="false">image("http://localhost:8000/sprites/meowth.png", 4)</f>
        <v>0</v>
      </c>
      <c r="E13" s="0" t="n">
        <f aca="false">image("http://localhost:8000/sprites/persian.png", 4)</f>
        <v>0</v>
      </c>
      <c r="F13" s="0" t="n">
        <f aca="false">image("http://localhost:8000/sprites/psyduck.png", 4)</f>
        <v>0</v>
      </c>
    </row>
    <row r="14" customFormat="false" ht="15" hidden="false" customHeight="false" outlineLevel="0" collapsed="false">
      <c r="A14" s="0" t="n">
        <f aca="false">image("http://localhost:8000/sprites/golduck.png", 4)</f>
        <v>0</v>
      </c>
      <c r="B14" s="0" t="n">
        <f aca="false">image("http://localhost:8000/sprites/mankey.png", 4)</f>
        <v>0</v>
      </c>
      <c r="C14" s="0" t="n">
        <f aca="false">image("http://localhost:8000/sprites/primeape.png", 4)</f>
        <v>0</v>
      </c>
      <c r="D14" s="0" t="n">
        <f aca="false">image("http://localhost:8000/sprites/growlithe.png", 4)</f>
        <v>0</v>
      </c>
      <c r="E14" s="0" t="n">
        <f aca="false">image("http://localhost:8000/sprites/arcanine.png", 4)</f>
        <v>0</v>
      </c>
      <c r="F14" s="0" t="n">
        <f aca="false">image("http://localhost:8000/sprites/poliwag.png", 4)</f>
        <v>0</v>
      </c>
    </row>
    <row r="17" customFormat="false" ht="15" hidden="false" customHeight="false" outlineLevel="0" collapsed="false">
      <c r="A17" s="1" t="s">
        <v>4</v>
      </c>
      <c r="B17" s="1"/>
      <c r="C17" s="1"/>
      <c r="D17" s="1"/>
      <c r="E17" s="1"/>
      <c r="F17" s="1"/>
    </row>
    <row r="18" customFormat="false" ht="15" hidden="false" customHeight="false" outlineLevel="0" collapsed="false">
      <c r="A18" s="0" t="n">
        <f aca="false">image("http://localhost:8000/sprites/poliwhirl.png", 4)</f>
        <v>0</v>
      </c>
      <c r="B18" s="0" t="n">
        <f aca="false">image("http://localhost:8000/sprites/poliwrath.png", 4)</f>
        <v>0</v>
      </c>
      <c r="C18" s="0" t="n">
        <f aca="false">image("http://localhost:8000/sprites/abra.png", 4)</f>
        <v>0</v>
      </c>
      <c r="D18" s="0" t="n">
        <f aca="false">image("http://localhost:8000/sprites/kadabra.png", 4)</f>
        <v>0</v>
      </c>
      <c r="E18" s="0" t="n">
        <f aca="false">image("http://localhost:8000/sprites/alakazam.png", 4)</f>
        <v>0</v>
      </c>
      <c r="F18" s="0" t="n">
        <f aca="false">image("http://localhost:8000/sprites/machop.png", 4)</f>
        <v>0</v>
      </c>
    </row>
    <row r="19" customFormat="false" ht="15" hidden="false" customHeight="false" outlineLevel="0" collapsed="false">
      <c r="A19" s="0" t="n">
        <f aca="false">image("http://localhost:8000/sprites/machoke.png", 4)</f>
        <v>0</v>
      </c>
      <c r="B19" s="0" t="n">
        <f aca="false">image("http://localhost:8000/sprites/machamp.png", 4)</f>
        <v>0</v>
      </c>
      <c r="C19" s="0" t="n">
        <f aca="false">image("http://localhost:8000/sprites/bellsprout.png", 4)</f>
        <v>0</v>
      </c>
      <c r="D19" s="0" t="n">
        <f aca="false">image("http://localhost:8000/sprites/weepinbell.png", 4)</f>
        <v>0</v>
      </c>
      <c r="E19" s="0" t="n">
        <f aca="false">image("http://localhost:8000/sprites/victreebel.png", 4)</f>
        <v>0</v>
      </c>
      <c r="F19" s="0" t="n">
        <f aca="false">image("http://localhost:8000/sprites/tentacool.png", 4)</f>
        <v>0</v>
      </c>
    </row>
    <row r="20" customFormat="false" ht="15" hidden="false" customHeight="false" outlineLevel="0" collapsed="false">
      <c r="A20" s="0" t="n">
        <f aca="false">image("http://localhost:8000/sprites/tentacruel.png", 4)</f>
        <v>0</v>
      </c>
      <c r="B20" s="0" t="n">
        <f aca="false">image("http://localhost:8000/sprites/geodude.png", 4)</f>
        <v>0</v>
      </c>
      <c r="C20" s="0" t="n">
        <f aca="false">image("http://localhost:8000/sprites/graveler.png", 4)</f>
        <v>0</v>
      </c>
      <c r="D20" s="0" t="n">
        <f aca="false">image("http://localhost:8000/sprites/golem.png", 4)</f>
        <v>0</v>
      </c>
      <c r="E20" s="0" t="n">
        <f aca="false">image("http://localhost:8000/sprites/ponyta.png", 4)</f>
        <v>0</v>
      </c>
      <c r="F20" s="0" t="n">
        <f aca="false">image("http://localhost:8000/sprites/rapidash.png", 4)</f>
        <v>0</v>
      </c>
    </row>
    <row r="21" customFormat="false" ht="15" hidden="false" customHeight="false" outlineLevel="0" collapsed="false">
      <c r="A21" s="0" t="n">
        <f aca="false">image("http://localhost:8000/sprites/slowpoke.png", 4)</f>
        <v>0</v>
      </c>
      <c r="B21" s="0" t="n">
        <f aca="false">image("http://localhost:8000/sprites/slowbro.png", 4)</f>
        <v>0</v>
      </c>
      <c r="C21" s="0" t="n">
        <f aca="false">image("http://localhost:8000/sprites/magnemite.png", 4)</f>
        <v>0</v>
      </c>
      <c r="D21" s="0" t="n">
        <f aca="false">image("http://localhost:8000/sprites/magneton.png", 4)</f>
        <v>0</v>
      </c>
      <c r="E21" s="0" t="n">
        <f aca="false">image("http://localhost:8000/sprites/farfetchd.png", 4)</f>
        <v>0</v>
      </c>
      <c r="F21" s="0" t="n">
        <f aca="false">image("http://localhost:8000/sprites/doduo.png", 4)</f>
        <v>0</v>
      </c>
    </row>
    <row r="22" customFormat="false" ht="15" hidden="false" customHeight="false" outlineLevel="0" collapsed="false">
      <c r="A22" s="0" t="n">
        <f aca="false">image("http://localhost:8000/sprites/dodrio.png", 4)</f>
        <v>0</v>
      </c>
      <c r="B22" s="0" t="n">
        <f aca="false">image("http://localhost:8000/sprites/seel.png", 4)</f>
        <v>0</v>
      </c>
      <c r="C22" s="0" t="n">
        <f aca="false">image("http://localhost:8000/sprites/dewgong.png", 4)</f>
        <v>0</v>
      </c>
      <c r="D22" s="0" t="n">
        <f aca="false">image("http://localhost:8000/sprites/grimer.png", 4)</f>
        <v>0</v>
      </c>
      <c r="E22" s="0" t="n">
        <f aca="false">image("http://localhost:8000/sprites/muk.png", 4)</f>
        <v>0</v>
      </c>
      <c r="F22" s="0" t="n">
        <f aca="false">image("http://localhost:8000/sprites/shellder.png", 4)</f>
        <v>0</v>
      </c>
    </row>
    <row r="25" customFormat="false" ht="15" hidden="false" customHeight="false" outlineLevel="0" collapsed="false">
      <c r="A25" s="1" t="s">
        <v>5</v>
      </c>
      <c r="B25" s="1"/>
      <c r="C25" s="1"/>
      <c r="D25" s="1"/>
      <c r="E25" s="1"/>
      <c r="F25" s="1"/>
    </row>
    <row r="26" customFormat="false" ht="15" hidden="false" customHeight="false" outlineLevel="0" collapsed="false">
      <c r="A26" s="0" t="n">
        <f aca="false">image("http://localhost:8000/sprites/cloyster.png", 4)</f>
        <v>0</v>
      </c>
      <c r="B26" s="0" t="n">
        <f aca="false">image("http://localhost:8000/sprites/gastly.png", 4)</f>
        <v>0</v>
      </c>
      <c r="C26" s="0" t="n">
        <f aca="false">image("http://localhost:8000/sprites/haunter.png", 4)</f>
        <v>0</v>
      </c>
      <c r="D26" s="0" t="n">
        <f aca="false">image("http://localhost:8000/sprites/gengar.png", 4)</f>
        <v>0</v>
      </c>
      <c r="E26" s="0" t="n">
        <f aca="false">image("http://localhost:8000/sprites/onix.png", 4)</f>
        <v>0</v>
      </c>
      <c r="F26" s="0" t="n">
        <f aca="false">image("http://localhost:8000/sprites/drowzee.png", 4)</f>
        <v>0</v>
      </c>
    </row>
    <row r="27" customFormat="false" ht="15" hidden="false" customHeight="false" outlineLevel="0" collapsed="false">
      <c r="A27" s="0" t="n">
        <f aca="false">image("http://localhost:8000/sprites/hypno.png", 4)</f>
        <v>0</v>
      </c>
      <c r="B27" s="0" t="n">
        <f aca="false">image("http://localhost:8000/sprites/krabby.png", 4)</f>
        <v>0</v>
      </c>
      <c r="C27" s="0" t="n">
        <f aca="false">image("http://localhost:8000/sprites/kingler.png", 4)</f>
        <v>0</v>
      </c>
      <c r="D27" s="0" t="n">
        <f aca="false">image("http://localhost:8000/sprites/voltorb.png", 4)</f>
        <v>0</v>
      </c>
      <c r="E27" s="0" t="n">
        <f aca="false">image("http://localhost:8000/sprites/electrode.png", 4)</f>
        <v>0</v>
      </c>
      <c r="F27" s="0" t="n">
        <f aca="false">image("http://localhost:8000/sprites/exeggcute.png", 4)</f>
        <v>0</v>
      </c>
    </row>
    <row r="28" customFormat="false" ht="15" hidden="false" customHeight="false" outlineLevel="0" collapsed="false">
      <c r="A28" s="0" t="n">
        <f aca="false">image("http://localhost:8000/sprites/exeggutor.png", 4)</f>
        <v>0</v>
      </c>
      <c r="B28" s="0" t="n">
        <f aca="false">image("http://localhost:8000/sprites/cubone.png", 4)</f>
        <v>0</v>
      </c>
      <c r="C28" s="0" t="n">
        <f aca="false">image("http://localhost:8000/sprites/marowak.png", 4)</f>
        <v>0</v>
      </c>
      <c r="D28" s="0" t="n">
        <f aca="false">image("http://localhost:8000/sprites/hitmonlee.png", 4)</f>
        <v>0</v>
      </c>
      <c r="E28" s="0" t="n">
        <f aca="false">image("http://localhost:8000/sprites/hitmonchan.png", 4)</f>
        <v>0</v>
      </c>
      <c r="F28" s="0" t="n">
        <f aca="false">image("http://localhost:8000/sprites/lickitung.png", 4)</f>
        <v>0</v>
      </c>
    </row>
    <row r="29" customFormat="false" ht="15" hidden="false" customHeight="false" outlineLevel="0" collapsed="false">
      <c r="A29" s="0" t="n">
        <f aca="false">image("http://localhost:8000/sprites/koffing.png", 4)</f>
        <v>0</v>
      </c>
      <c r="B29" s="0" t="n">
        <f aca="false">image("http://localhost:8000/sprites/weezing.png", 4)</f>
        <v>0</v>
      </c>
      <c r="C29" s="0" t="n">
        <f aca="false">image("http://localhost:8000/sprites/rhyhorn.png", 4)</f>
        <v>0</v>
      </c>
      <c r="D29" s="0" t="n">
        <f aca="false">image("http://localhost:8000/sprites/rhydon.png", 4)</f>
        <v>0</v>
      </c>
      <c r="E29" s="0" t="n">
        <f aca="false">image("http://localhost:8000/sprites/chansey.png", 4)</f>
        <v>0</v>
      </c>
      <c r="F29" s="0" t="n">
        <f aca="false">image("http://localhost:8000/sprites/tangela.png", 4)</f>
        <v>0</v>
      </c>
    </row>
    <row r="30" customFormat="false" ht="15" hidden="false" customHeight="false" outlineLevel="0" collapsed="false">
      <c r="A30" s="0" t="n">
        <f aca="false">image("http://localhost:8000/sprites/kangaskhan.png", 4)</f>
        <v>0</v>
      </c>
      <c r="B30" s="0" t="n">
        <f aca="false">image("http://localhost:8000/sprites/horsea.png", 4)</f>
        <v>0</v>
      </c>
      <c r="C30" s="0" t="n">
        <f aca="false">image("http://localhost:8000/sprites/seadra.png", 4)</f>
        <v>0</v>
      </c>
      <c r="D30" s="0" t="n">
        <f aca="false">image("http://localhost:8000/sprites/goldeen.png", 4)</f>
        <v>0</v>
      </c>
      <c r="E30" s="0" t="n">
        <f aca="false">image("http://localhost:8000/sprites/seaking.png", 4)</f>
        <v>0</v>
      </c>
      <c r="F30" s="0" t="n">
        <f aca="false">image("http://localhost:8000/sprites/staryu.png", 4)</f>
        <v>0</v>
      </c>
    </row>
    <row r="33" customFormat="false" ht="15" hidden="false" customHeight="false" outlineLevel="0" collapsed="false">
      <c r="A33" s="1" t="s">
        <v>6</v>
      </c>
      <c r="B33" s="1"/>
      <c r="C33" s="1"/>
      <c r="D33" s="1"/>
      <c r="E33" s="1"/>
      <c r="F33" s="1"/>
    </row>
    <row r="34" customFormat="false" ht="15" hidden="false" customHeight="false" outlineLevel="0" collapsed="false">
      <c r="A34" s="0" t="n">
        <f aca="false">image("http://localhost:8000/sprites/starmie.png", 4)</f>
        <v>0</v>
      </c>
      <c r="B34" s="0" t="s">
        <v>7</v>
      </c>
      <c r="C34" s="0" t="n">
        <f aca="false">image("http://localhost:8000/sprites/scyther.png", 4)</f>
        <v>0</v>
      </c>
      <c r="D34" s="0" t="n">
        <f aca="false">image("http://localhost:8000/sprites/jynx.png", 4)</f>
        <v>0</v>
      </c>
      <c r="E34" s="0" t="n">
        <f aca="false">image("http://localhost:8000/sprites/electabuzz.png", 4)</f>
        <v>0</v>
      </c>
      <c r="F34" s="0" t="n">
        <f aca="false">image("http://localhost:8000/sprites/magmar.png", 4)</f>
        <v>0</v>
      </c>
    </row>
    <row r="35" customFormat="false" ht="15" hidden="false" customHeight="false" outlineLevel="0" collapsed="false">
      <c r="A35" s="0" t="n">
        <f aca="false">image("http://localhost:8000/sprites/pinsir.png", 4)</f>
        <v>0</v>
      </c>
      <c r="B35" s="0" t="n">
        <f aca="false">image("http://localhost:8000/sprites/tauros.png", 4)</f>
        <v>0</v>
      </c>
      <c r="C35" s="0" t="n">
        <f aca="false">image("http://localhost:8000/sprites/magikarp.png", 4)</f>
        <v>0</v>
      </c>
      <c r="D35" s="0" t="n">
        <f aca="false">image("http://localhost:8000/sprites/gyarados.png", 4)</f>
        <v>0</v>
      </c>
      <c r="E35" s="0" t="n">
        <f aca="false">image("http://localhost:8000/sprites/lapras.png", 4)</f>
        <v>0</v>
      </c>
      <c r="F35" s="0" t="n">
        <f aca="false">image("http://localhost:8000/sprites/ditto.png", 4)</f>
        <v>0</v>
      </c>
    </row>
    <row r="36" customFormat="false" ht="15" hidden="false" customHeight="false" outlineLevel="0" collapsed="false">
      <c r="A36" s="0" t="n">
        <f aca="false">image("http://localhost:8000/sprites/eevee.png", 4)</f>
        <v>0</v>
      </c>
      <c r="B36" s="0" t="n">
        <f aca="false">image("http://localhost:8000/sprites/vaporeon.png", 4)</f>
        <v>0</v>
      </c>
      <c r="C36" s="0" t="n">
        <f aca="false">image("http://localhost:8000/sprites/jolteon.png", 4)</f>
        <v>0</v>
      </c>
      <c r="D36" s="0" t="n">
        <f aca="false">image("http://localhost:8000/sprites/flareon.png", 4)</f>
        <v>0</v>
      </c>
      <c r="E36" s="0" t="n">
        <f aca="false">image("http://localhost:8000/sprites/porygon.png", 4)</f>
        <v>0</v>
      </c>
      <c r="F36" s="0" t="n">
        <f aca="false">image("http://localhost:8000/sprites/omanyte.png", 4)</f>
        <v>0</v>
      </c>
    </row>
    <row r="37" customFormat="false" ht="15" hidden="false" customHeight="false" outlineLevel="0" collapsed="false">
      <c r="A37" s="0" t="n">
        <f aca="false">image("http://localhost:8000/sprites/omastar.png", 4)</f>
        <v>0</v>
      </c>
      <c r="B37" s="0" t="n">
        <f aca="false">image("http://localhost:8000/sprites/kabuto.png", 4)</f>
        <v>0</v>
      </c>
      <c r="C37" s="0" t="n">
        <f aca="false">image("http://localhost:8000/sprites/kabutops.png", 4)</f>
        <v>0</v>
      </c>
      <c r="D37" s="0" t="n">
        <f aca="false">image("http://localhost:8000/sprites/aerodactyl.png", 4)</f>
        <v>0</v>
      </c>
      <c r="E37" s="0" t="n">
        <f aca="false">image("http://localhost:8000/sprites/snorlax.png", 4)</f>
        <v>0</v>
      </c>
      <c r="F37" s="0" t="n">
        <f aca="false">image("http://localhost:8000/sprites/articuno.png", 4)</f>
        <v>0</v>
      </c>
    </row>
    <row r="38" customFormat="false" ht="15" hidden="false" customHeight="false" outlineLevel="0" collapsed="false">
      <c r="A38" s="0" t="n">
        <f aca="false">image("http://localhost:8000/sprites/zapdos.png", 4)</f>
        <v>0</v>
      </c>
      <c r="B38" s="0" t="n">
        <f aca="false">image("http://localhost:8000/sprites/moltres.png", 4)</f>
        <v>0</v>
      </c>
      <c r="C38" s="0" t="n">
        <f aca="false">image("http://localhost:8000/sprites/dratini.png", 4)</f>
        <v>0</v>
      </c>
      <c r="D38" s="0" t="n">
        <f aca="false">image("http://localhost:8000/sprites/dragonair.png", 4)</f>
        <v>0</v>
      </c>
      <c r="E38" s="0" t="n">
        <f aca="false">image("http://localhost:8000/sprites/dragonite.png", 4)</f>
        <v>0</v>
      </c>
      <c r="F38" s="0" t="n">
        <f aca="false">image("http://localhost:8000/sprites/mewtwo.png", 4)</f>
        <v>0</v>
      </c>
    </row>
    <row r="41" customFormat="false" ht="15" hidden="false" customHeight="false" outlineLevel="0" collapsed="false">
      <c r="A41" s="1" t="s">
        <v>8</v>
      </c>
      <c r="B41" s="1"/>
      <c r="C41" s="1"/>
      <c r="D41" s="1"/>
      <c r="E41" s="1"/>
      <c r="F41" s="1"/>
    </row>
    <row r="42" customFormat="false" ht="15" hidden="false" customHeight="false" outlineLevel="0" collapsed="false">
      <c r="A42" s="0" t="n">
        <f aca="false">image("http://localhost:8000/sprites/mew.png", 4)</f>
        <v>0</v>
      </c>
      <c r="B42" s="0" t="n">
        <f aca="false">image("http://localhost:8000/sprites/chikorita.png", 4)</f>
        <v>0</v>
      </c>
      <c r="C42" s="0" t="n">
        <f aca="false">image("http://localhost:8000/sprites/bayleef.png", 4)</f>
        <v>0</v>
      </c>
      <c r="D42" s="0" t="n">
        <f aca="false">image("http://localhost:8000/sprites/meganium.png", 4)</f>
        <v>0</v>
      </c>
      <c r="E42" s="0" t="n">
        <f aca="false">image("http://localhost:8000/sprites/cyndaquil.png", 4)</f>
        <v>0</v>
      </c>
      <c r="F42" s="0" t="n">
        <f aca="false">image("http://localhost:8000/sprites/quilava.png", 4)</f>
        <v>0</v>
      </c>
    </row>
    <row r="43" customFormat="false" ht="15" hidden="false" customHeight="false" outlineLevel="0" collapsed="false">
      <c r="A43" s="0" t="n">
        <f aca="false">image("http://localhost:8000/sprites/typhlosion.png", 4)</f>
        <v>0</v>
      </c>
      <c r="B43" s="0" t="n">
        <f aca="false">image("http://localhost:8000/sprites/totodile.png", 4)</f>
        <v>0</v>
      </c>
      <c r="C43" s="0" t="n">
        <f aca="false">image("http://localhost:8000/sprites/croconaw.png", 4)</f>
        <v>0</v>
      </c>
      <c r="D43" s="0" t="n">
        <f aca="false">image("http://localhost:8000/sprites/feraligatr.png", 4)</f>
        <v>0</v>
      </c>
      <c r="E43" s="0" t="n">
        <f aca="false">image("http://localhost:8000/sprites/sentret.png", 4)</f>
        <v>0</v>
      </c>
      <c r="F43" s="0" t="n">
        <f aca="false">image("http://localhost:8000/sprites/furret.png", 4)</f>
        <v>0</v>
      </c>
    </row>
    <row r="44" customFormat="false" ht="15" hidden="false" customHeight="false" outlineLevel="0" collapsed="false">
      <c r="A44" s="0" t="n">
        <f aca="false">image("http://localhost:8000/sprites/hoothoot.png", 4)</f>
        <v>0</v>
      </c>
      <c r="B44" s="0" t="n">
        <f aca="false">image("http://localhost:8000/sprites/noctowl.png", 4)</f>
        <v>0</v>
      </c>
      <c r="C44" s="0" t="n">
        <f aca="false">image("http://localhost:8000/sprites/ledyba.png", 4)</f>
        <v>0</v>
      </c>
      <c r="D44" s="0" t="n">
        <f aca="false">image("http://localhost:8000/sprites/ledian.png", 4)</f>
        <v>0</v>
      </c>
      <c r="E44" s="0" t="n">
        <f aca="false">image("http://localhost:8000/sprites/spinarak.png", 4)</f>
        <v>0</v>
      </c>
      <c r="F44" s="0" t="n">
        <f aca="false">image("http://localhost:8000/sprites/ariados.png", 4)</f>
        <v>0</v>
      </c>
    </row>
    <row r="45" customFormat="false" ht="15" hidden="false" customHeight="false" outlineLevel="0" collapsed="false">
      <c r="A45" s="0" t="n">
        <f aca="false">image("http://localhost:8000/sprites/crobat.png", 4)</f>
        <v>0</v>
      </c>
      <c r="B45" s="0" t="n">
        <f aca="false">image("http://localhost:8000/sprites/chinchou.png", 4)</f>
        <v>0</v>
      </c>
      <c r="C45" s="0" t="n">
        <f aca="false">image("http://localhost:8000/sprites/lanturn.png", 4)</f>
        <v>0</v>
      </c>
      <c r="D45" s="0" t="n">
        <f aca="false">image("http://localhost:8000/sprites/pichu.png", 4)</f>
        <v>0</v>
      </c>
      <c r="E45" s="0" t="n">
        <f aca="false">image("http://localhost:8000/sprites/cleffa.png", 4)</f>
        <v>0</v>
      </c>
      <c r="F45" s="0" t="n">
        <f aca="false">image("http://localhost:8000/sprites/igglybuff.png", 4)</f>
        <v>0</v>
      </c>
    </row>
    <row r="46" customFormat="false" ht="15" hidden="false" customHeight="false" outlineLevel="0" collapsed="false">
      <c r="A46" s="0" t="n">
        <f aca="false">image("http://localhost:8000/sprites/togepi.png", 4)</f>
        <v>0</v>
      </c>
      <c r="B46" s="0" t="n">
        <f aca="false">image("http://localhost:8000/sprites/togetic.png", 4)</f>
        <v>0</v>
      </c>
      <c r="C46" s="0" t="n">
        <f aca="false">image("http://localhost:8000/sprites/natu.png", 4)</f>
        <v>0</v>
      </c>
      <c r="D46" s="0" t="n">
        <f aca="false">image("http://localhost:8000/sprites/xatu.png", 4)</f>
        <v>0</v>
      </c>
      <c r="E46" s="0" t="n">
        <f aca="false">image("http://localhost:8000/sprites/mareep.png", 4)</f>
        <v>0</v>
      </c>
      <c r="F46" s="0" t="n">
        <f aca="false">image("http://localhost:8000/sprites/flaaffy.png", 4)</f>
        <v>0</v>
      </c>
    </row>
    <row r="49" customFormat="false" ht="15" hidden="false" customHeight="false" outlineLevel="0" collapsed="false">
      <c r="A49" s="1" t="s">
        <v>9</v>
      </c>
      <c r="B49" s="1"/>
      <c r="C49" s="1"/>
      <c r="D49" s="1"/>
      <c r="E49" s="1"/>
      <c r="F49" s="1"/>
    </row>
    <row r="50" customFormat="false" ht="15" hidden="false" customHeight="false" outlineLevel="0" collapsed="false">
      <c r="A50" s="0" t="n">
        <f aca="false">image("http://localhost:8000/sprites/ampharos.png", 4)</f>
        <v>0</v>
      </c>
      <c r="B50" s="0" t="n">
        <f aca="false">image("http://localhost:8000/sprites/bellossom.png", 4)</f>
        <v>0</v>
      </c>
      <c r="C50" s="0" t="n">
        <f aca="false">image("http://localhost:8000/sprites/marill.png", 4)</f>
        <v>0</v>
      </c>
      <c r="D50" s="0" t="n">
        <f aca="false">image("http://localhost:8000/sprites/azumarill.png", 4)</f>
        <v>0</v>
      </c>
      <c r="E50" s="0" t="n">
        <f aca="false">image("http://localhost:8000/sprites/sudowoodo.png", 4)</f>
        <v>0</v>
      </c>
      <c r="F50" s="0" t="n">
        <f aca="false">image("http://localhost:8000/sprites/politoed.png", 4)</f>
        <v>0</v>
      </c>
    </row>
    <row r="51" customFormat="false" ht="15" hidden="false" customHeight="false" outlineLevel="0" collapsed="false">
      <c r="A51" s="0" t="n">
        <f aca="false">image("http://localhost:8000/sprites/hoppip.png", 4)</f>
        <v>0</v>
      </c>
      <c r="B51" s="0" t="n">
        <f aca="false">image("http://localhost:8000/sprites/skiploom.png", 4)</f>
        <v>0</v>
      </c>
      <c r="C51" s="0" t="n">
        <f aca="false">image("http://localhost:8000/sprites/jumpluff.png", 4)</f>
        <v>0</v>
      </c>
      <c r="D51" s="0" t="n">
        <f aca="false">image("http://localhost:8000/sprites/aipom.png", 4)</f>
        <v>0</v>
      </c>
      <c r="E51" s="0" t="n">
        <f aca="false">image("http://localhost:8000/sprites/sunkern.png", 4)</f>
        <v>0</v>
      </c>
      <c r="F51" s="0" t="n">
        <f aca="false">image("http://localhost:8000/sprites/sunflora.png", 4)</f>
        <v>0</v>
      </c>
    </row>
    <row r="52" customFormat="false" ht="15" hidden="false" customHeight="false" outlineLevel="0" collapsed="false">
      <c r="A52" s="0" t="n">
        <f aca="false">image("http://localhost:8000/sprites/yanma.png", 4)</f>
        <v>0</v>
      </c>
      <c r="B52" s="0" t="n">
        <f aca="false">image("http://localhost:8000/sprites/wooper.png", 4)</f>
        <v>0</v>
      </c>
      <c r="C52" s="0" t="n">
        <f aca="false">image("http://localhost:8000/sprites/quagsire.png", 4)</f>
        <v>0</v>
      </c>
      <c r="D52" s="0" t="n">
        <f aca="false">image("http://localhost:8000/sprites/espeon.png", 4)</f>
        <v>0</v>
      </c>
      <c r="E52" s="0" t="n">
        <f aca="false">image("http://localhost:8000/sprites/umbreon.png", 4)</f>
        <v>0</v>
      </c>
      <c r="F52" s="0" t="n">
        <f aca="false">image("http://localhost:8000/sprites/murkrow.png", 4)</f>
        <v>0</v>
      </c>
    </row>
    <row r="53" customFormat="false" ht="15" hidden="false" customHeight="false" outlineLevel="0" collapsed="false">
      <c r="A53" s="0" t="n">
        <f aca="false">image("http://localhost:8000/sprites/slowking.png", 4)</f>
        <v>0</v>
      </c>
      <c r="B53" s="0" t="n">
        <f aca="false">image("http://localhost:8000/sprites/misdreavus.png", 4)</f>
        <v>0</v>
      </c>
      <c r="C53" s="0" t="n">
        <f aca="false">image("http://localhost:8000/sprites/unown.png", 4)</f>
        <v>0</v>
      </c>
      <c r="D53" s="0" t="n">
        <f aca="false">image("http://localhost:8000/sprites/wobbuffet.png", 4)</f>
        <v>0</v>
      </c>
      <c r="E53" s="0" t="n">
        <f aca="false">image("http://localhost:8000/sprites/girafarig.png", 4)</f>
        <v>0</v>
      </c>
      <c r="F53" s="0" t="n">
        <f aca="false">image("http://localhost:8000/sprites/pineco.png", 4)</f>
        <v>0</v>
      </c>
    </row>
    <row r="54" customFormat="false" ht="15" hidden="false" customHeight="false" outlineLevel="0" collapsed="false">
      <c r="A54" s="0" t="n">
        <f aca="false">image("http://localhost:8000/sprites/forretress.png", 4)</f>
        <v>0</v>
      </c>
      <c r="B54" s="0" t="n">
        <f aca="false">image("http://localhost:8000/sprites/dunsparce.png", 4)</f>
        <v>0</v>
      </c>
      <c r="C54" s="0" t="n">
        <f aca="false">image("http://localhost:8000/sprites/gligar.png", 4)</f>
        <v>0</v>
      </c>
      <c r="D54" s="0" t="n">
        <f aca="false">image("http://localhost:8000/sprites/steelix.png", 4)</f>
        <v>0</v>
      </c>
      <c r="E54" s="0" t="n">
        <f aca="false">image("http://localhost:8000/sprites/snubbull.png", 4)</f>
        <v>0</v>
      </c>
      <c r="F54" s="0" t="n">
        <f aca="false">image("http://localhost:8000/sprites/granbull.png", 4)</f>
        <v>0</v>
      </c>
    </row>
    <row r="57" customFormat="false" ht="15" hidden="false" customHeight="false" outlineLevel="0" collapsed="false">
      <c r="A57" s="1" t="s">
        <v>10</v>
      </c>
      <c r="B57" s="1"/>
      <c r="C57" s="1"/>
      <c r="D57" s="1"/>
      <c r="E57" s="1"/>
      <c r="F57" s="1"/>
    </row>
    <row r="58" customFormat="false" ht="15" hidden="false" customHeight="false" outlineLevel="0" collapsed="false">
      <c r="A58" s="0" t="n">
        <f aca="false">image("http://localhost:8000/sprites/qwilfish.png", 4)</f>
        <v>0</v>
      </c>
      <c r="B58" s="0" t="n">
        <f aca="false">image("http://localhost:8000/sprites/scizor.png", 4)</f>
        <v>0</v>
      </c>
      <c r="C58" s="0" t="n">
        <f aca="false">image("http://localhost:8000/sprites/shuckle.png", 4)</f>
        <v>0</v>
      </c>
      <c r="D58" s="0" t="n">
        <f aca="false">image("http://localhost:8000/sprites/heracross.png", 4)</f>
        <v>0</v>
      </c>
      <c r="E58" s="0" t="n">
        <f aca="false">image("http://localhost:8000/sprites/sneasel.png", 4)</f>
        <v>0</v>
      </c>
      <c r="F58" s="0" t="n">
        <f aca="false">image("http://localhost:8000/sprites/teddiursa.png", 4)</f>
        <v>0</v>
      </c>
    </row>
    <row r="59" customFormat="false" ht="15" hidden="false" customHeight="false" outlineLevel="0" collapsed="false">
      <c r="A59" s="0" t="n">
        <f aca="false">image("http://localhost:8000/sprites/ursaring.png", 4)</f>
        <v>0</v>
      </c>
      <c r="B59" s="0" t="n">
        <f aca="false">image("http://localhost:8000/sprites/slugma.png", 4)</f>
        <v>0</v>
      </c>
      <c r="C59" s="0" t="n">
        <f aca="false">image("http://localhost:8000/sprites/magcargo.png", 4)</f>
        <v>0</v>
      </c>
      <c r="D59" s="0" t="n">
        <f aca="false">image("http://localhost:8000/sprites/swinub.png", 4)</f>
        <v>0</v>
      </c>
      <c r="E59" s="0" t="n">
        <f aca="false">image("http://localhost:8000/sprites/piloswine.png", 4)</f>
        <v>0</v>
      </c>
      <c r="F59" s="0" t="n">
        <f aca="false">image("http://localhost:8000/sprites/corsola.png", 4)</f>
        <v>0</v>
      </c>
    </row>
    <row r="60" customFormat="false" ht="15" hidden="false" customHeight="false" outlineLevel="0" collapsed="false">
      <c r="A60" s="0" t="n">
        <f aca="false">image("http://localhost:8000/sprites/remoraid.png", 4)</f>
        <v>0</v>
      </c>
      <c r="B60" s="0" t="n">
        <f aca="false">image("http://localhost:8000/sprites/octillery.png", 4)</f>
        <v>0</v>
      </c>
      <c r="C60" s="0" t="n">
        <f aca="false">image("http://localhost:8000/sprites/delibird.png", 4)</f>
        <v>0</v>
      </c>
      <c r="D60" s="0" t="n">
        <f aca="false">image("http://localhost:8000/sprites/mantine.png", 4)</f>
        <v>0</v>
      </c>
      <c r="E60" s="0" t="n">
        <f aca="false">image("http://localhost:8000/sprites/skarmory.png", 4)</f>
        <v>0</v>
      </c>
      <c r="F60" s="0" t="n">
        <f aca="false">image("http://localhost:8000/sprites/houndour.png", 4)</f>
        <v>0</v>
      </c>
    </row>
    <row r="61" customFormat="false" ht="15" hidden="false" customHeight="false" outlineLevel="0" collapsed="false">
      <c r="A61" s="0" t="n">
        <f aca="false">image("http://localhost:8000/sprites/houndoom.png", 4)</f>
        <v>0</v>
      </c>
      <c r="B61" s="0" t="n">
        <f aca="false">image("http://localhost:8000/sprites/kingdra.png", 4)</f>
        <v>0</v>
      </c>
      <c r="C61" s="0" t="n">
        <f aca="false">image("http://localhost:8000/sprites/phanpy.png", 4)</f>
        <v>0</v>
      </c>
      <c r="D61" s="0" t="n">
        <f aca="false">image("http://localhost:8000/sprites/donphan.png", 4)</f>
        <v>0</v>
      </c>
      <c r="E61" s="0" t="n">
        <f aca="false">image("http://localhost:8000/sprites/porygon2.png", 4)</f>
        <v>0</v>
      </c>
      <c r="F61" s="0" t="n">
        <f aca="false">image("http://localhost:8000/sprites/stantler.png", 4)</f>
        <v>0</v>
      </c>
    </row>
    <row r="62" customFormat="false" ht="15" hidden="false" customHeight="false" outlineLevel="0" collapsed="false">
      <c r="A62" s="0" t="n">
        <f aca="false">image("http://localhost:8000/sprites/smeargle.png", 4)</f>
        <v>0</v>
      </c>
      <c r="B62" s="0" t="n">
        <f aca="false">image("http://localhost:8000/sprites/tyrogue.png", 4)</f>
        <v>0</v>
      </c>
      <c r="C62" s="0" t="n">
        <f aca="false">image("http://localhost:8000/sprites/hitmontop.png", 4)</f>
        <v>0</v>
      </c>
      <c r="D62" s="0" t="n">
        <f aca="false">image("http://localhost:8000/sprites/smoochum.png", 4)</f>
        <v>0</v>
      </c>
      <c r="E62" s="0" t="n">
        <f aca="false">image("http://localhost:8000/sprites/elekid.png", 4)</f>
        <v>0</v>
      </c>
      <c r="F62" s="0" t="n">
        <f aca="false">image("http://localhost:8000/sprites/magby.png", 4)</f>
        <v>0</v>
      </c>
    </row>
    <row r="65" customFormat="false" ht="15" hidden="false" customHeight="false" outlineLevel="0" collapsed="false">
      <c r="A65" s="1" t="s">
        <v>11</v>
      </c>
      <c r="B65" s="1"/>
      <c r="C65" s="1"/>
      <c r="D65" s="1"/>
      <c r="E65" s="1"/>
      <c r="F65" s="1"/>
    </row>
    <row r="66" customFormat="false" ht="15" hidden="false" customHeight="false" outlineLevel="0" collapsed="false">
      <c r="A66" s="0" t="n">
        <f aca="false">image("http://localhost:8000/sprites/miltank.png", 4)</f>
        <v>0</v>
      </c>
      <c r="B66" s="0" t="n">
        <f aca="false">image("http://localhost:8000/sprites/blissey.png", 4)</f>
        <v>0</v>
      </c>
      <c r="C66" s="0" t="n">
        <f aca="false">image("http://localhost:8000/sprites/raikou.png", 4)</f>
        <v>0</v>
      </c>
      <c r="D66" s="0" t="n">
        <f aca="false">image("http://localhost:8000/sprites/entei.png", 4)</f>
        <v>0</v>
      </c>
      <c r="E66" s="0" t="n">
        <f aca="false">image("http://localhost:8000/sprites/suicune.png", 4)</f>
        <v>0</v>
      </c>
      <c r="F66" s="0" t="n">
        <f aca="false">image("http://localhost:8000/sprites/larvitar.png", 4)</f>
        <v>0</v>
      </c>
    </row>
    <row r="67" customFormat="false" ht="15" hidden="false" customHeight="false" outlineLevel="0" collapsed="false">
      <c r="A67" s="0" t="n">
        <f aca="false">image("http://localhost:8000/sprites/pupitar.png", 4)</f>
        <v>0</v>
      </c>
      <c r="B67" s="0" t="n">
        <f aca="false">image("http://localhost:8000/sprites/tyranitar.png", 4)</f>
        <v>0</v>
      </c>
      <c r="C67" s="0" t="n">
        <f aca="false">image("http://localhost:8000/sprites/lugia.png", 4)</f>
        <v>0</v>
      </c>
      <c r="D67" s="0" t="s">
        <v>12</v>
      </c>
      <c r="E67" s="0" t="n">
        <f aca="false">image("http://localhost:8000/sprites/celebi.png", 4)</f>
        <v>0</v>
      </c>
      <c r="F67" s="0" t="n">
        <f aca="false">image("http://localhost:8000/sprites/treecko.png", 4)</f>
        <v>0</v>
      </c>
    </row>
    <row r="68" customFormat="false" ht="15" hidden="false" customHeight="false" outlineLevel="0" collapsed="false">
      <c r="A68" s="0" t="n">
        <f aca="false">image("http://localhost:8000/sprites/grovyle.png", 4)</f>
        <v>0</v>
      </c>
      <c r="B68" s="0" t="n">
        <f aca="false">image("http://localhost:8000/sprites/sceptile.png", 4)</f>
        <v>0</v>
      </c>
      <c r="C68" s="0" t="n">
        <f aca="false">image("http://localhost:8000/sprites/torchic.png", 4)</f>
        <v>0</v>
      </c>
      <c r="D68" s="0" t="n">
        <f aca="false">image("http://localhost:8000/sprites/combusken.png", 4)</f>
        <v>0</v>
      </c>
      <c r="E68" s="0" t="n">
        <f aca="false">image("http://localhost:8000/sprites/blaziken.png", 4)</f>
        <v>0</v>
      </c>
      <c r="F68" s="0" t="n">
        <f aca="false">image("http://localhost:8000/sprites/mudkip.png", 4)</f>
        <v>0</v>
      </c>
    </row>
    <row r="69" customFormat="false" ht="15" hidden="false" customHeight="false" outlineLevel="0" collapsed="false">
      <c r="A69" s="0" t="n">
        <f aca="false">image("http://localhost:8000/sprites/marshtomp.png", 4)</f>
        <v>0</v>
      </c>
      <c r="B69" s="0" t="n">
        <f aca="false">image("http://localhost:8000/sprites/swampert.png", 4)</f>
        <v>0</v>
      </c>
      <c r="C69" s="0" t="n">
        <f aca="false">image("http://localhost:8000/sprites/poochyena.png", 4)</f>
        <v>0</v>
      </c>
      <c r="D69" s="0" t="n">
        <f aca="false">image("http://localhost:8000/sprites/mightyena.png", 4)</f>
        <v>0</v>
      </c>
      <c r="E69" s="0" t="n">
        <f aca="false">image("http://localhost:8000/sprites/zigzagoon.png", 4)</f>
        <v>0</v>
      </c>
      <c r="F69" s="0" t="n">
        <f aca="false">image("http://localhost:8000/sprites/linoone.png", 4)</f>
        <v>0</v>
      </c>
    </row>
    <row r="70" customFormat="false" ht="15" hidden="false" customHeight="false" outlineLevel="0" collapsed="false">
      <c r="A70" s="0" t="n">
        <f aca="false">image("http://localhost:8000/sprites/wurmple.png", 4)</f>
        <v>0</v>
      </c>
      <c r="B70" s="0" t="n">
        <f aca="false">image("http://localhost:8000/sprites/silcoon.png", 4)</f>
        <v>0</v>
      </c>
      <c r="C70" s="0" t="n">
        <f aca="false">image("http://localhost:8000/sprites/beautifly.png", 4)</f>
        <v>0</v>
      </c>
      <c r="D70" s="0" t="n">
        <f aca="false">image("http://localhost:8000/sprites/cascoon.png", 4)</f>
        <v>0</v>
      </c>
      <c r="E70" s="0" t="n">
        <f aca="false">image("http://localhost:8000/sprites/dustox.png", 4)</f>
        <v>0</v>
      </c>
      <c r="F70" s="0" t="n">
        <f aca="false">image("http://localhost:8000/sprites/lotad.png", 4)</f>
        <v>0</v>
      </c>
    </row>
    <row r="73" customFormat="false" ht="15" hidden="false" customHeight="false" outlineLevel="0" collapsed="false">
      <c r="A73" s="1" t="s">
        <v>13</v>
      </c>
      <c r="B73" s="1"/>
      <c r="C73" s="1"/>
      <c r="D73" s="1"/>
      <c r="E73" s="1"/>
      <c r="F73" s="1"/>
    </row>
    <row r="74" customFormat="false" ht="15" hidden="false" customHeight="false" outlineLevel="0" collapsed="false">
      <c r="A74" s="0" t="n">
        <f aca="false">image("http://localhost:8000/sprites/lombre.png", 4)</f>
        <v>0</v>
      </c>
      <c r="B74" s="0" t="n">
        <f aca="false">image("http://localhost:8000/sprites/ludicolo.png", 4)</f>
        <v>0</v>
      </c>
      <c r="C74" s="0" t="n">
        <f aca="false">image("http://localhost:8000/sprites/seedot.png", 4)</f>
        <v>0</v>
      </c>
      <c r="D74" s="0" t="n">
        <f aca="false">image("http://localhost:8000/sprites/nuzleaf.png", 4)</f>
        <v>0</v>
      </c>
      <c r="E74" s="0" t="n">
        <f aca="false">image("http://localhost:8000/sprites/shiftry.png", 4)</f>
        <v>0</v>
      </c>
      <c r="F74" s="0" t="n">
        <f aca="false">image("http://localhost:8000/sprites/taillow.png", 4)</f>
        <v>0</v>
      </c>
    </row>
    <row r="75" customFormat="false" ht="15" hidden="false" customHeight="false" outlineLevel="0" collapsed="false">
      <c r="A75" s="0" t="n">
        <f aca="false">image("http://localhost:8000/sprites/swellow.png", 4)</f>
        <v>0</v>
      </c>
      <c r="B75" s="0" t="n">
        <f aca="false">image("http://localhost:8000/sprites/wingull.png", 4)</f>
        <v>0</v>
      </c>
      <c r="C75" s="0" t="n">
        <f aca="false">image("http://localhost:8000/sprites/pelipper.png", 4)</f>
        <v>0</v>
      </c>
      <c r="D75" s="0" t="n">
        <f aca="false">image("http://localhost:8000/sprites/ralts.png", 4)</f>
        <v>0</v>
      </c>
      <c r="E75" s="0" t="n">
        <f aca="false">image("http://localhost:8000/sprites/kirlia.png", 4)</f>
        <v>0</v>
      </c>
      <c r="F75" s="0" t="n">
        <f aca="false">image("http://localhost:8000/sprites/gardevoir.png", 4)</f>
        <v>0</v>
      </c>
    </row>
    <row r="76" customFormat="false" ht="15" hidden="false" customHeight="false" outlineLevel="0" collapsed="false">
      <c r="A76" s="0" t="n">
        <f aca="false">image("http://localhost:8000/sprites/surskit.png", 4)</f>
        <v>0</v>
      </c>
      <c r="B76" s="0" t="n">
        <f aca="false">image("http://localhost:8000/sprites/masquerain.png", 4)</f>
        <v>0</v>
      </c>
      <c r="C76" s="0" t="n">
        <f aca="false">image("http://localhost:8000/sprites/shroomish.png", 4)</f>
        <v>0</v>
      </c>
      <c r="D76" s="0" t="n">
        <f aca="false">image("http://localhost:8000/sprites/breloom.png", 4)</f>
        <v>0</v>
      </c>
      <c r="E76" s="0" t="n">
        <f aca="false">image("http://localhost:8000/sprites/slakoth.png", 4)</f>
        <v>0</v>
      </c>
      <c r="F76" s="0" t="n">
        <f aca="false">image("http://localhost:8000/sprites/vigoroth.png", 4)</f>
        <v>0</v>
      </c>
    </row>
    <row r="77" customFormat="false" ht="15" hidden="false" customHeight="false" outlineLevel="0" collapsed="false">
      <c r="A77" s="0" t="n">
        <f aca="false">image("http://localhost:8000/sprites/slaking.png", 4)</f>
        <v>0</v>
      </c>
      <c r="B77" s="0" t="n">
        <f aca="false">image("http://localhost:8000/sprites/nincada.png", 4)</f>
        <v>0</v>
      </c>
      <c r="C77" s="0" t="n">
        <f aca="false">image("http://localhost:8000/sprites/ninjask.png", 4)</f>
        <v>0</v>
      </c>
      <c r="D77" s="0" t="n">
        <f aca="false">image("http://localhost:8000/sprites/shedinja.png", 4)</f>
        <v>0</v>
      </c>
      <c r="E77" s="0" t="n">
        <f aca="false">image("http://localhost:8000/sprites/whismur.png", 4)</f>
        <v>0</v>
      </c>
      <c r="F77" s="0" t="n">
        <f aca="false">image("http://localhost:8000/sprites/loudred.png", 4)</f>
        <v>0</v>
      </c>
    </row>
    <row r="78" customFormat="false" ht="15" hidden="false" customHeight="false" outlineLevel="0" collapsed="false">
      <c r="A78" s="0" t="n">
        <f aca="false">image("http://localhost:8000/sprites/exploud.png", 4)</f>
        <v>0</v>
      </c>
      <c r="B78" s="0" t="n">
        <f aca="false">image("http://localhost:8000/sprites/makuhita.png", 4)</f>
        <v>0</v>
      </c>
      <c r="C78" s="0" t="n">
        <f aca="false">image("http://localhost:8000/sprites/hariyama.png", 4)</f>
        <v>0</v>
      </c>
      <c r="D78" s="0" t="n">
        <f aca="false">image("http://localhost:8000/sprites/azurill.png", 4)</f>
        <v>0</v>
      </c>
      <c r="E78" s="0" t="n">
        <f aca="false">image("http://localhost:8000/sprites/nosepass.png", 4)</f>
        <v>0</v>
      </c>
      <c r="F78" s="0" t="n">
        <f aca="false">image("http://localhost:8000/sprites/skitty.png", 4)</f>
        <v>0</v>
      </c>
    </row>
    <row r="81" customFormat="false" ht="15" hidden="false" customHeight="false" outlineLevel="0" collapsed="false">
      <c r="A81" s="1" t="s">
        <v>14</v>
      </c>
      <c r="B81" s="1"/>
      <c r="C81" s="1"/>
      <c r="D81" s="1"/>
      <c r="E81" s="1"/>
      <c r="F81" s="1"/>
    </row>
    <row r="82" customFormat="false" ht="15" hidden="false" customHeight="false" outlineLevel="0" collapsed="false">
      <c r="A82" s="0" t="n">
        <f aca="false">image("http://localhost:8000/sprites/delcatty.png", 4)</f>
        <v>0</v>
      </c>
      <c r="B82" s="0" t="n">
        <f aca="false">image("http://localhost:8000/sprites/sableye.png", 4)</f>
        <v>0</v>
      </c>
      <c r="C82" s="0" t="n">
        <f aca="false">image("http://localhost:8000/sprites/mawile.png", 4)</f>
        <v>0</v>
      </c>
      <c r="D82" s="0" t="n">
        <f aca="false">image("http://localhost:8000/sprites/aron.png", 4)</f>
        <v>0</v>
      </c>
      <c r="E82" s="0" t="n">
        <f aca="false">image("http://localhost:8000/sprites/lairon.png", 4)</f>
        <v>0</v>
      </c>
      <c r="F82" s="0" t="n">
        <f aca="false">image("http://localhost:8000/sprites/aggron.png", 4)</f>
        <v>0</v>
      </c>
    </row>
    <row r="83" customFormat="false" ht="15" hidden="false" customHeight="false" outlineLevel="0" collapsed="false">
      <c r="A83" s="0" t="n">
        <f aca="false">image("http://localhost:8000/sprites/meditite.png", 4)</f>
        <v>0</v>
      </c>
      <c r="B83" s="0" t="n">
        <f aca="false">image("http://localhost:8000/sprites/medicham.png", 4)</f>
        <v>0</v>
      </c>
      <c r="C83" s="0" t="n">
        <f aca="false">image("http://localhost:8000/sprites/electrike.png", 4)</f>
        <v>0</v>
      </c>
      <c r="D83" s="0" t="n">
        <f aca="false">image("http://localhost:8000/sprites/manectric.png", 4)</f>
        <v>0</v>
      </c>
      <c r="E83" s="0" t="n">
        <f aca="false">image("http://localhost:8000/sprites/plusle.png", 4)</f>
        <v>0</v>
      </c>
      <c r="F83" s="0" t="n">
        <f aca="false">image("http://localhost:8000/sprites/minun.png", 4)</f>
        <v>0</v>
      </c>
    </row>
    <row r="84" customFormat="false" ht="15" hidden="false" customHeight="false" outlineLevel="0" collapsed="false">
      <c r="A84" s="0" t="n">
        <f aca="false">image("http://localhost:8000/sprites/volbeat.png", 4)</f>
        <v>0</v>
      </c>
      <c r="B84" s="0" t="n">
        <f aca="false">image("http://localhost:8000/sprites/illumise.png", 4)</f>
        <v>0</v>
      </c>
      <c r="C84" s="0" t="n">
        <f aca="false">image("http://localhost:8000/sprites/roselia.png", 4)</f>
        <v>0</v>
      </c>
      <c r="D84" s="0" t="n">
        <f aca="false">image("http://localhost:8000/sprites/gulpin.png", 4)</f>
        <v>0</v>
      </c>
      <c r="E84" s="0" t="n">
        <f aca="false">image("http://localhost:8000/sprites/swalot.png", 4)</f>
        <v>0</v>
      </c>
      <c r="F84" s="0" t="n">
        <f aca="false">image("http://localhost:8000/sprites/carvanha.png", 4)</f>
        <v>0</v>
      </c>
    </row>
    <row r="85" customFormat="false" ht="15" hidden="false" customHeight="false" outlineLevel="0" collapsed="false">
      <c r="A85" s="0" t="n">
        <f aca="false">image("http://localhost:8000/sprites/sharpedo.png", 4)</f>
        <v>0</v>
      </c>
      <c r="B85" s="0" t="n">
        <f aca="false">image("http://localhost:8000/sprites/wailmer.png", 4)</f>
        <v>0</v>
      </c>
      <c r="C85" s="0" t="n">
        <f aca="false">image("http://localhost:8000/sprites/wailord.png", 4)</f>
        <v>0</v>
      </c>
      <c r="D85" s="0" t="n">
        <f aca="false">image("http://localhost:8000/sprites/numel.png", 4)</f>
        <v>0</v>
      </c>
      <c r="E85" s="0" t="n">
        <f aca="false">image("http://localhost:8000/sprites/camerupt.png", 4)</f>
        <v>0</v>
      </c>
      <c r="F85" s="0" t="n">
        <f aca="false">image("http://localhost:8000/sprites/torkoal.png", 4)</f>
        <v>0</v>
      </c>
    </row>
    <row r="86" customFormat="false" ht="15" hidden="false" customHeight="false" outlineLevel="0" collapsed="false">
      <c r="A86" s="0" t="n">
        <f aca="false">image("http://localhost:8000/sprites/spoink.png", 4)</f>
        <v>0</v>
      </c>
      <c r="B86" s="0" t="n">
        <f aca="false">image("http://localhost:8000/sprites/grumpig.png", 4)</f>
        <v>0</v>
      </c>
      <c r="C86" s="0" t="n">
        <f aca="false">image("http://localhost:8000/sprites/spinda.png", 4)</f>
        <v>0</v>
      </c>
      <c r="D86" s="0" t="n">
        <f aca="false">image("http://localhost:8000/sprites/trapinch.png", 4)</f>
        <v>0</v>
      </c>
      <c r="E86" s="0" t="n">
        <f aca="false">image("http://localhost:8000/sprites/vibrava.png", 4)</f>
        <v>0</v>
      </c>
      <c r="F86" s="0" t="n">
        <f aca="false">image("http://localhost:8000/sprites/flygon.png", 4)</f>
        <v>0</v>
      </c>
    </row>
    <row r="89" customFormat="false" ht="15" hidden="false" customHeight="false" outlineLevel="0" collapsed="false">
      <c r="A89" s="1" t="s">
        <v>15</v>
      </c>
      <c r="B89" s="1"/>
      <c r="C89" s="1"/>
      <c r="D89" s="1"/>
      <c r="E89" s="1"/>
      <c r="F89" s="1"/>
    </row>
    <row r="90" customFormat="false" ht="15" hidden="false" customHeight="false" outlineLevel="0" collapsed="false">
      <c r="A90" s="0" t="n">
        <f aca="false">image("http://localhost:8000/sprites/cacnea.png", 4)</f>
        <v>0</v>
      </c>
      <c r="B90" s="0" t="n">
        <f aca="false">image("http://localhost:8000/sprites/cacturne.png", 4)</f>
        <v>0</v>
      </c>
      <c r="C90" s="0" t="n">
        <f aca="false">image("http://localhost:8000/sprites/swablu.png", 4)</f>
        <v>0</v>
      </c>
      <c r="D90" s="0" t="n">
        <f aca="false">image("http://localhost:8000/sprites/altaria.png", 4)</f>
        <v>0</v>
      </c>
      <c r="E90" s="0" t="n">
        <f aca="false">image("http://localhost:8000/sprites/zangoose.png", 4)</f>
        <v>0</v>
      </c>
      <c r="F90" s="0" t="n">
        <f aca="false">image("http://localhost:8000/sprites/seviper.png", 4)</f>
        <v>0</v>
      </c>
    </row>
    <row r="91" customFormat="false" ht="15" hidden="false" customHeight="false" outlineLevel="0" collapsed="false">
      <c r="A91" s="0" t="n">
        <f aca="false">image("http://localhost:8000/sprites/lunatone.png", 4)</f>
        <v>0</v>
      </c>
      <c r="B91" s="0" t="n">
        <f aca="false">image("http://localhost:8000/sprites/solrock.png", 4)</f>
        <v>0</v>
      </c>
      <c r="C91" s="0" t="n">
        <f aca="false">image("http://localhost:8000/sprites/barboach.png", 4)</f>
        <v>0</v>
      </c>
      <c r="D91" s="0" t="n">
        <f aca="false">image("http://localhost:8000/sprites/whiscash.png", 4)</f>
        <v>0</v>
      </c>
      <c r="E91" s="0" t="n">
        <f aca="false">image("http://localhost:8000/sprites/corphish.png", 4)</f>
        <v>0</v>
      </c>
      <c r="F91" s="0" t="n">
        <f aca="false">image("http://localhost:8000/sprites/crawdaunt.png", 4)</f>
        <v>0</v>
      </c>
    </row>
    <row r="92" customFormat="false" ht="15" hidden="false" customHeight="false" outlineLevel="0" collapsed="false">
      <c r="A92" s="0" t="n">
        <f aca="false">image("http://localhost:8000/sprites/baltoy.png", 4)</f>
        <v>0</v>
      </c>
      <c r="B92" s="0" t="n">
        <f aca="false">image("http://localhost:8000/sprites/claydol.png", 4)</f>
        <v>0</v>
      </c>
      <c r="C92" s="0" t="n">
        <f aca="false">image("http://localhost:8000/sprites/lileep.png", 4)</f>
        <v>0</v>
      </c>
      <c r="D92" s="0" t="n">
        <f aca="false">image("http://localhost:8000/sprites/cradily.png", 4)</f>
        <v>0</v>
      </c>
      <c r="E92" s="0" t="n">
        <f aca="false">image("http://localhost:8000/sprites/anorith.png", 4)</f>
        <v>0</v>
      </c>
      <c r="F92" s="0" t="n">
        <f aca="false">image("http://localhost:8000/sprites/armaldo.png", 4)</f>
        <v>0</v>
      </c>
    </row>
    <row r="93" customFormat="false" ht="15" hidden="false" customHeight="false" outlineLevel="0" collapsed="false">
      <c r="A93" s="0" t="n">
        <f aca="false">image("http://localhost:8000/sprites/feebas.png", 4)</f>
        <v>0</v>
      </c>
      <c r="B93" s="0" t="n">
        <f aca="false">image("http://localhost:8000/sprites/milotic.png", 4)</f>
        <v>0</v>
      </c>
      <c r="C93" s="0" t="n">
        <f aca="false">image("http://localhost:8000/sprites/castform.png", 4)</f>
        <v>0</v>
      </c>
      <c r="D93" s="0" t="n">
        <f aca="false">image("http://localhost:8000/sprites/kecleon.png", 4)</f>
        <v>0</v>
      </c>
      <c r="E93" s="0" t="n">
        <f aca="false">image("http://localhost:8000/sprites/shuppet.png", 4)</f>
        <v>0</v>
      </c>
      <c r="F93" s="0" t="n">
        <f aca="false">image("http://localhost:8000/sprites/banette.png", 4)</f>
        <v>0</v>
      </c>
    </row>
    <row r="94" customFormat="false" ht="15" hidden="false" customHeight="false" outlineLevel="0" collapsed="false">
      <c r="A94" s="0" t="n">
        <f aca="false">image("http://localhost:8000/sprites/duskull.png", 4)</f>
        <v>0</v>
      </c>
      <c r="B94" s="0" t="n">
        <f aca="false">image("http://localhost:8000/sprites/dusclops.png", 4)</f>
        <v>0</v>
      </c>
      <c r="C94" s="0" t="n">
        <f aca="false">image("http://localhost:8000/sprites/tropius.png", 4)</f>
        <v>0</v>
      </c>
      <c r="D94" s="0" t="n">
        <f aca="false">image("http://localhost:8000/sprites/chimecho.png", 4)</f>
        <v>0</v>
      </c>
      <c r="E94" s="0" t="n">
        <f aca="false">image("http://localhost:8000/sprites/absol.png", 4)</f>
        <v>0</v>
      </c>
      <c r="F94" s="0" t="n">
        <f aca="false">image("http://localhost:8000/sprites/wynaut.png", 4)</f>
        <v>0</v>
      </c>
    </row>
    <row r="97" customFormat="false" ht="15" hidden="false" customHeight="false" outlineLevel="0" collapsed="false">
      <c r="A97" s="1" t="s">
        <v>16</v>
      </c>
      <c r="B97" s="1"/>
      <c r="C97" s="1"/>
      <c r="D97" s="1"/>
      <c r="E97" s="1"/>
      <c r="F97" s="1"/>
    </row>
    <row r="98" customFormat="false" ht="15" hidden="false" customHeight="false" outlineLevel="0" collapsed="false">
      <c r="A98" s="0" t="n">
        <f aca="false">image("http://localhost:8000/sprites/snorunt.png", 4)</f>
        <v>0</v>
      </c>
      <c r="B98" s="0" t="n">
        <f aca="false">image("http://localhost:8000/sprites/glalie.png", 4)</f>
        <v>0</v>
      </c>
      <c r="C98" s="0" t="n">
        <f aca="false">image("http://localhost:8000/sprites/spheal.png", 4)</f>
        <v>0</v>
      </c>
      <c r="D98" s="0" t="n">
        <f aca="false">image("http://localhost:8000/sprites/sealeo.png", 4)</f>
        <v>0</v>
      </c>
      <c r="E98" s="0" t="n">
        <f aca="false">image("http://localhost:8000/sprites/walrein.png", 4)</f>
        <v>0</v>
      </c>
      <c r="F98" s="0" t="n">
        <f aca="false">image("http://localhost:8000/sprites/clamperl.png", 4)</f>
        <v>0</v>
      </c>
    </row>
    <row r="99" customFormat="false" ht="15" hidden="false" customHeight="false" outlineLevel="0" collapsed="false">
      <c r="A99" s="0" t="n">
        <f aca="false">image("http://localhost:8000/sprites/huntail.png", 4)</f>
        <v>0</v>
      </c>
      <c r="B99" s="0" t="n">
        <f aca="false">image("http://localhost:8000/sprites/gorebyss.png", 4)</f>
        <v>0</v>
      </c>
      <c r="C99" s="0" t="n">
        <f aca="false">image("http://localhost:8000/sprites/relicanth.png", 4)</f>
        <v>0</v>
      </c>
      <c r="D99" s="0" t="n">
        <f aca="false">image("http://localhost:8000/sprites/luvdisc.png", 4)</f>
        <v>0</v>
      </c>
      <c r="E99" s="0" t="n">
        <f aca="false">image("http://localhost:8000/sprites/bagon.png", 4)</f>
        <v>0</v>
      </c>
      <c r="F99" s="0" t="n">
        <f aca="false">image("http://localhost:8000/sprites/shelgon.png", 4)</f>
        <v>0</v>
      </c>
    </row>
    <row r="100" customFormat="false" ht="15" hidden="false" customHeight="false" outlineLevel="0" collapsed="false">
      <c r="A100" s="0" t="n">
        <f aca="false">image("http://localhost:8000/sprites/salamence.png", 4)</f>
        <v>0</v>
      </c>
      <c r="B100" s="0" t="n">
        <f aca="false">image("http://localhost:8000/sprites/beldum.png", 4)</f>
        <v>0</v>
      </c>
      <c r="C100" s="0" t="n">
        <f aca="false">image("http://localhost:8000/sprites/metang.png", 4)</f>
        <v>0</v>
      </c>
      <c r="D100" s="0" t="n">
        <f aca="false">image("http://localhost:8000/sprites/metagross.png", 4)</f>
        <v>0</v>
      </c>
      <c r="E100" s="0" t="n">
        <f aca="false">image("http://localhost:8000/sprites/regirock.png", 4)</f>
        <v>0</v>
      </c>
      <c r="F100" s="0" t="n">
        <f aca="false">image("http://localhost:8000/sprites/regice.png", 4)</f>
        <v>0</v>
      </c>
    </row>
    <row r="101" customFormat="false" ht="15" hidden="false" customHeight="false" outlineLevel="0" collapsed="false">
      <c r="A101" s="0" t="n">
        <f aca="false">image("http://localhost:8000/sprites/registeel.png", 4)</f>
        <v>0</v>
      </c>
      <c r="B101" s="0" t="n">
        <f aca="false">image("http://localhost:8000/sprites/latias.png", 4)</f>
        <v>0</v>
      </c>
      <c r="C101" s="0" t="n">
        <f aca="false">image("http://localhost:8000/sprites/latios.png", 4)</f>
        <v>0</v>
      </c>
      <c r="D101" s="0" t="n">
        <f aca="false">image("http://localhost:8000/sprites/kyogre.png", 4)</f>
        <v>0</v>
      </c>
      <c r="E101" s="0" t="n">
        <f aca="false">image("http://localhost:8000/sprites/groudon.png", 4)</f>
        <v>0</v>
      </c>
      <c r="F101" s="0" t="n">
        <f aca="false">image("http://localhost:8000/sprites/rayquaza.png", 4)</f>
        <v>0</v>
      </c>
    </row>
    <row r="102" customFormat="false" ht="15" hidden="false" customHeight="false" outlineLevel="0" collapsed="false">
      <c r="A102" s="0" t="n">
        <f aca="false">image("http://localhost:8000/sprites/jirachi.png", 4)</f>
        <v>0</v>
      </c>
      <c r="B102" s="0" t="s">
        <v>17</v>
      </c>
      <c r="C102" s="0" t="n">
        <f aca="false">image("http://localhost:8000/sprites/turtwig.png", 4)</f>
        <v>0</v>
      </c>
      <c r="D102" s="0" t="n">
        <f aca="false">image("http://localhost:8000/sprites/grotle.png", 4)</f>
        <v>0</v>
      </c>
      <c r="E102" s="0" t="n">
        <f aca="false">image("http://localhost:8000/sprites/torterra.png", 4)</f>
        <v>0</v>
      </c>
      <c r="F102" s="0" t="n">
        <f aca="false">image("http://localhost:8000/sprites/chimchar.png", 4)</f>
        <v>0</v>
      </c>
    </row>
    <row r="105" customFormat="false" ht="15" hidden="false" customHeight="false" outlineLevel="0" collapsed="false">
      <c r="A105" s="1" t="s">
        <v>18</v>
      </c>
      <c r="B105" s="1"/>
      <c r="C105" s="1"/>
      <c r="D105" s="1"/>
      <c r="E105" s="1"/>
      <c r="F105" s="1"/>
    </row>
    <row r="106" customFormat="false" ht="15" hidden="false" customHeight="false" outlineLevel="0" collapsed="false">
      <c r="A106" s="0" t="n">
        <f aca="false">image("http://localhost:8000/sprites/monferno.png", 4)</f>
        <v>0</v>
      </c>
      <c r="B106" s="0" t="n">
        <f aca="false">image("http://localhost:8000/sprites/infernape.png", 4)</f>
        <v>0</v>
      </c>
      <c r="C106" s="0" t="n">
        <f aca="false">image("http://localhost:8000/sprites/piplup.png", 4)</f>
        <v>0</v>
      </c>
      <c r="D106" s="0" t="n">
        <f aca="false">image("http://localhost:8000/sprites/prinplup.png", 4)</f>
        <v>0</v>
      </c>
      <c r="E106" s="0" t="n">
        <f aca="false">image("http://localhost:8000/sprites/empoleon.png", 4)</f>
        <v>0</v>
      </c>
      <c r="F106" s="0" t="n">
        <f aca="false">image("http://localhost:8000/sprites/starly.png", 4)</f>
        <v>0</v>
      </c>
    </row>
    <row r="107" customFormat="false" ht="15" hidden="false" customHeight="false" outlineLevel="0" collapsed="false">
      <c r="A107" s="0" t="n">
        <f aca="false">image("http://localhost:8000/sprites/staravia.png", 4)</f>
        <v>0</v>
      </c>
      <c r="B107" s="0" t="n">
        <f aca="false">image("http://localhost:8000/sprites/staraptor.png", 4)</f>
        <v>0</v>
      </c>
      <c r="C107" s="0" t="n">
        <f aca="false">image("http://localhost:8000/sprites/bidoof.png", 4)</f>
        <v>0</v>
      </c>
      <c r="D107" s="0" t="n">
        <f aca="false">image("http://localhost:8000/sprites/bibarel.png", 4)</f>
        <v>0</v>
      </c>
      <c r="E107" s="0" t="n">
        <f aca="false">image("http://localhost:8000/sprites/kricketot.png", 4)</f>
        <v>0</v>
      </c>
      <c r="F107" s="0" t="n">
        <f aca="false">image("http://localhost:8000/sprites/kricketune.png", 4)</f>
        <v>0</v>
      </c>
    </row>
    <row r="108" customFormat="false" ht="15" hidden="false" customHeight="false" outlineLevel="0" collapsed="false">
      <c r="A108" s="0" t="n">
        <f aca="false">image("http://localhost:8000/sprites/shinx.png", 4)</f>
        <v>0</v>
      </c>
      <c r="B108" s="0" t="n">
        <f aca="false">image("http://localhost:8000/sprites/luxio.png", 4)</f>
        <v>0</v>
      </c>
      <c r="C108" s="0" t="n">
        <f aca="false">image("http://localhost:8000/sprites/luxray.png", 4)</f>
        <v>0</v>
      </c>
      <c r="D108" s="0" t="n">
        <f aca="false">image("http://localhost:8000/sprites/budew.png", 4)</f>
        <v>0</v>
      </c>
      <c r="E108" s="0" t="n">
        <f aca="false">image("http://localhost:8000/sprites/roserade.png", 4)</f>
        <v>0</v>
      </c>
      <c r="F108" s="0" t="n">
        <f aca="false">image("http://localhost:8000/sprites/cranidos.png", 4)</f>
        <v>0</v>
      </c>
    </row>
    <row r="109" customFormat="false" ht="15" hidden="false" customHeight="false" outlineLevel="0" collapsed="false">
      <c r="A109" s="0" t="n">
        <f aca="false">image("http://localhost:8000/sprites/rampardos.png", 4)</f>
        <v>0</v>
      </c>
      <c r="B109" s="0" t="n">
        <f aca="false">image("http://localhost:8000/sprites/shieldon.png", 4)</f>
        <v>0</v>
      </c>
      <c r="C109" s="0" t="n">
        <f aca="false">image("http://localhost:8000/sprites/bastiodon.png", 4)</f>
        <v>0</v>
      </c>
      <c r="D109" s="0" t="n">
        <f aca="false">image("http://localhost:8000/sprites/burmy.png", 4)</f>
        <v>0</v>
      </c>
      <c r="E109" s="0" t="s">
        <v>19</v>
      </c>
      <c r="F109" s="0" t="n">
        <f aca="false">image("http://localhost:8000/sprites/mothim.png", 4)</f>
        <v>0</v>
      </c>
    </row>
    <row r="110" customFormat="false" ht="15" hidden="false" customHeight="false" outlineLevel="0" collapsed="false">
      <c r="A110" s="0" t="n">
        <f aca="false">image("http://localhost:8000/sprites/combee.png", 4)</f>
        <v>0</v>
      </c>
      <c r="B110" s="0" t="n">
        <f aca="false">image("http://localhost:8000/sprites/vespiquen.png", 4)</f>
        <v>0</v>
      </c>
      <c r="C110" s="0" t="n">
        <f aca="false">image("http://localhost:8000/sprites/pachirisu.png", 4)</f>
        <v>0</v>
      </c>
      <c r="D110" s="0" t="n">
        <f aca="false">image("http://localhost:8000/sprites/buizel.png", 4)</f>
        <v>0</v>
      </c>
      <c r="E110" s="0" t="n">
        <f aca="false">image("http://localhost:8000/sprites/floatzel.png", 4)</f>
        <v>0</v>
      </c>
      <c r="F110" s="0" t="n">
        <f aca="false">image("http://localhost:8000/sprites/cherubi.png", 4)</f>
        <v>0</v>
      </c>
    </row>
    <row r="113" customFormat="false" ht="15" hidden="false" customHeight="false" outlineLevel="0" collapsed="false">
      <c r="A113" s="1" t="s">
        <v>20</v>
      </c>
      <c r="B113" s="1"/>
      <c r="C113" s="1"/>
      <c r="D113" s="1"/>
      <c r="E113" s="1"/>
      <c r="F113" s="1"/>
    </row>
    <row r="114" customFormat="false" ht="15" hidden="false" customHeight="false" outlineLevel="0" collapsed="false">
      <c r="A114" s="0" t="n">
        <f aca="false">image("http://localhost:8000/sprites/cherrim.png", 4)</f>
        <v>0</v>
      </c>
      <c r="B114" s="0" t="n">
        <f aca="false">image("http://localhost:8000/sprites/shellos.png", 4)</f>
        <v>0</v>
      </c>
      <c r="C114" s="0" t="n">
        <f aca="false">image("http://localhost:8000/sprites/gastrodon.png", 4)</f>
        <v>0</v>
      </c>
      <c r="D114" s="0" t="n">
        <f aca="false">image("http://localhost:8000/sprites/ambipom.png", 4)</f>
        <v>0</v>
      </c>
      <c r="E114" s="0" t="n">
        <f aca="false">image("http://localhost:8000/sprites/drifloon.png", 4)</f>
        <v>0</v>
      </c>
      <c r="F114" s="0" t="n">
        <f aca="false">image("http://localhost:8000/sprites/drifblim.png", 4)</f>
        <v>0</v>
      </c>
    </row>
    <row r="115" customFormat="false" ht="15" hidden="false" customHeight="false" outlineLevel="0" collapsed="false">
      <c r="A115" s="0" t="n">
        <f aca="false">image("http://localhost:8000/sprites/buneary.png", 4)</f>
        <v>0</v>
      </c>
      <c r="B115" s="0" t="n">
        <f aca="false">image("http://localhost:8000/sprites/lopunny.png", 4)</f>
        <v>0</v>
      </c>
      <c r="C115" s="0" t="n">
        <f aca="false">image("http://localhost:8000/sprites/mismagius.png", 4)</f>
        <v>0</v>
      </c>
      <c r="D115" s="0" t="n">
        <f aca="false">image("http://localhost:8000/sprites/honchkrow.png", 4)</f>
        <v>0</v>
      </c>
      <c r="E115" s="0" t="n">
        <f aca="false">image("http://localhost:8000/sprites/glameow.png", 4)</f>
        <v>0</v>
      </c>
      <c r="F115" s="0" t="n">
        <f aca="false">image("http://localhost:8000/sprites/purugly.png", 4)</f>
        <v>0</v>
      </c>
    </row>
    <row r="116" customFormat="false" ht="15" hidden="false" customHeight="false" outlineLevel="0" collapsed="false">
      <c r="A116" s="0" t="n">
        <f aca="false">image("http://localhost:8000/sprites/chingling.png", 4)</f>
        <v>0</v>
      </c>
      <c r="B116" s="0" t="n">
        <f aca="false">image("http://localhost:8000/sprites/stunky.png", 4)</f>
        <v>0</v>
      </c>
      <c r="C116" s="0" t="n">
        <f aca="false">image("http://localhost:8000/sprites/skuntank.png", 4)</f>
        <v>0</v>
      </c>
      <c r="D116" s="0" t="n">
        <f aca="false">image("http://localhost:8000/sprites/bronzor.png", 4)</f>
        <v>0</v>
      </c>
      <c r="E116" s="0" t="n">
        <f aca="false">image("http://localhost:8000/sprites/bronzong.png", 4)</f>
        <v>0</v>
      </c>
      <c r="F116" s="0" t="n">
        <f aca="false">image("http://localhost:8000/sprites/bonsly.png", 4)</f>
        <v>0</v>
      </c>
    </row>
    <row r="117" customFormat="false" ht="15" hidden="false" customHeight="false" outlineLevel="0" collapsed="false">
      <c r="A117" s="0" t="s">
        <v>21</v>
      </c>
      <c r="B117" s="0" t="n">
        <f aca="false">image("http://localhost:8000/sprites/happiny.png", 4)</f>
        <v>0</v>
      </c>
      <c r="C117" s="0" t="n">
        <f aca="false">image("http://localhost:8000/sprites/chatot.png", 4)</f>
        <v>0</v>
      </c>
      <c r="D117" s="0" t="n">
        <f aca="false">image("http://localhost:8000/sprites/spiritomb.png", 4)</f>
        <v>0</v>
      </c>
      <c r="E117" s="0" t="n">
        <f aca="false">image("http://localhost:8000/sprites/gible.png", 4)</f>
        <v>0</v>
      </c>
      <c r="F117" s="0" t="n">
        <f aca="false">image("http://localhost:8000/sprites/gabite.png", 4)</f>
        <v>0</v>
      </c>
    </row>
    <row r="118" customFormat="false" ht="15" hidden="false" customHeight="false" outlineLevel="0" collapsed="false">
      <c r="A118" s="0" t="n">
        <f aca="false">image("http://localhost:8000/sprites/garchomp.png", 4)</f>
        <v>0</v>
      </c>
      <c r="B118" s="0" t="n">
        <f aca="false">image("http://localhost:8000/sprites/munchlax.png", 4)</f>
        <v>0</v>
      </c>
      <c r="C118" s="0" t="n">
        <f aca="false">image("http://localhost:8000/sprites/riolu.png", 4)</f>
        <v>0</v>
      </c>
      <c r="D118" s="0" t="n">
        <f aca="false">image("http://localhost:8000/sprites/lucario.png", 4)</f>
        <v>0</v>
      </c>
      <c r="E118" s="0" t="n">
        <f aca="false">image("http://localhost:8000/sprites/hippopotas.png", 4)</f>
        <v>0</v>
      </c>
      <c r="F118" s="0" t="n">
        <f aca="false">image("http://localhost:8000/sprites/hippowdon.png", 4)</f>
        <v>0</v>
      </c>
    </row>
    <row r="121" customFormat="false" ht="15" hidden="false" customHeight="false" outlineLevel="0" collapsed="false">
      <c r="A121" s="1" t="s">
        <v>22</v>
      </c>
      <c r="B121" s="1"/>
      <c r="C121" s="1"/>
      <c r="D121" s="1"/>
      <c r="E121" s="1"/>
      <c r="F121" s="1"/>
    </row>
    <row r="122" customFormat="false" ht="15" hidden="false" customHeight="false" outlineLevel="0" collapsed="false">
      <c r="A122" s="0" t="n">
        <f aca="false">image("http://localhost:8000/sprites/skorupi.png", 4)</f>
        <v>0</v>
      </c>
      <c r="B122" s="0" t="n">
        <f aca="false">image("http://localhost:8000/sprites/drapion.png", 4)</f>
        <v>0</v>
      </c>
      <c r="C122" s="0" t="n">
        <f aca="false">image("http://localhost:8000/sprites/croagunk.png", 4)</f>
        <v>0</v>
      </c>
      <c r="D122" s="0" t="n">
        <f aca="false">image("http://localhost:8000/sprites/toxicroak.png", 4)</f>
        <v>0</v>
      </c>
      <c r="E122" s="0" t="n">
        <f aca="false">image("http://localhost:8000/sprites/carnivine.png", 4)</f>
        <v>0</v>
      </c>
      <c r="F122" s="0" t="n">
        <f aca="false">image("http://localhost:8000/sprites/finneon.png", 4)</f>
        <v>0</v>
      </c>
    </row>
    <row r="123" customFormat="false" ht="15" hidden="false" customHeight="false" outlineLevel="0" collapsed="false">
      <c r="A123" s="0" t="n">
        <f aca="false">image("http://localhost:8000/sprites/lumineon.png", 4)</f>
        <v>0</v>
      </c>
      <c r="B123" s="0" t="n">
        <f aca="false">image("http://localhost:8000/sprites/mantyke.png", 4)</f>
        <v>0</v>
      </c>
      <c r="C123" s="0" t="n">
        <f aca="false">image("http://localhost:8000/sprites/snover.png", 4)</f>
        <v>0</v>
      </c>
      <c r="D123" s="0" t="n">
        <f aca="false">image("http://localhost:8000/sprites/abomasnow.png", 4)</f>
        <v>0</v>
      </c>
      <c r="E123" s="0" t="n">
        <f aca="false">image("http://localhost:8000/sprites/weavile.png", 4)</f>
        <v>0</v>
      </c>
      <c r="F123" s="0" t="n">
        <f aca="false">image("http://localhost:8000/sprites/magnezone.png", 4)</f>
        <v>0</v>
      </c>
    </row>
    <row r="124" customFormat="false" ht="15" hidden="false" customHeight="false" outlineLevel="0" collapsed="false">
      <c r="A124" s="0" t="n">
        <f aca="false">image("http://localhost:8000/sprites/lickilicky.png", 4)</f>
        <v>0</v>
      </c>
      <c r="B124" s="0" t="n">
        <f aca="false">image("http://localhost:8000/sprites/rhyperior.png", 4)</f>
        <v>0</v>
      </c>
      <c r="C124" s="0" t="n">
        <f aca="false">image("http://localhost:8000/sprites/tangrowth.png", 4)</f>
        <v>0</v>
      </c>
      <c r="D124" s="0" t="n">
        <f aca="false">image("http://localhost:8000/sprites/electivire.png", 4)</f>
        <v>0</v>
      </c>
      <c r="E124" s="0" t="n">
        <f aca="false">image("http://localhost:8000/sprites/magmortar.png", 4)</f>
        <v>0</v>
      </c>
      <c r="F124" s="0" t="n">
        <f aca="false">image("http://localhost:8000/sprites/togekiss.png", 4)</f>
        <v>0</v>
      </c>
    </row>
    <row r="125" customFormat="false" ht="15" hidden="false" customHeight="false" outlineLevel="0" collapsed="false">
      <c r="A125" s="0" t="n">
        <f aca="false">image("http://localhost:8000/sprites/yanmega.png", 4)</f>
        <v>0</v>
      </c>
      <c r="B125" s="0" t="n">
        <f aca="false">image("http://localhost:8000/sprites/leafeon.png", 4)</f>
        <v>0</v>
      </c>
      <c r="C125" s="0" t="n">
        <f aca="false">image("http://localhost:8000/sprites/glaceon.png", 4)</f>
        <v>0</v>
      </c>
      <c r="D125" s="0" t="n">
        <f aca="false">image("http://localhost:8000/sprites/gliscor.png", 4)</f>
        <v>0</v>
      </c>
      <c r="E125" s="0" t="n">
        <f aca="false">image("http://localhost:8000/sprites/mamoswine.png", 4)</f>
        <v>0</v>
      </c>
      <c r="F125" s="0" t="s">
        <v>23</v>
      </c>
    </row>
    <row r="126" customFormat="false" ht="15" hidden="false" customHeight="false" outlineLevel="0" collapsed="false">
      <c r="A126" s="0" t="n">
        <f aca="false">image("http://localhost:8000/sprites/gallade.png", 4)</f>
        <v>0</v>
      </c>
      <c r="B126" s="0" t="n">
        <f aca="false">image("http://localhost:8000/sprites/probopass.png", 4)</f>
        <v>0</v>
      </c>
      <c r="C126" s="0" t="n">
        <f aca="false">image("http://localhost:8000/sprites/dusknoir.png", 4)</f>
        <v>0</v>
      </c>
      <c r="D126" s="0" t="n">
        <f aca="false">image("http://localhost:8000/sprites/froslass.png", 4)</f>
        <v>0</v>
      </c>
      <c r="E126" s="0" t="n">
        <f aca="false">image("http://localhost:8000/sprites/rotom.png", 4)</f>
        <v>0</v>
      </c>
      <c r="F126" s="0" t="n">
        <f aca="false">image("http://localhost:8000/sprites/uxie.png", 4)</f>
        <v>0</v>
      </c>
    </row>
    <row r="129" customFormat="false" ht="15" hidden="false" customHeight="false" outlineLevel="0" collapsed="false">
      <c r="A129" s="1" t="s">
        <v>24</v>
      </c>
      <c r="B129" s="1"/>
      <c r="C129" s="1"/>
      <c r="D129" s="1"/>
      <c r="E129" s="1"/>
      <c r="F129" s="1"/>
    </row>
    <row r="130" customFormat="false" ht="15" hidden="false" customHeight="false" outlineLevel="0" collapsed="false">
      <c r="A130" s="0" t="n">
        <f aca="false">image("http://localhost:8000/sprites/mesprit.png", 4)</f>
        <v>0</v>
      </c>
      <c r="B130" s="0" t="n">
        <f aca="false">image("http://localhost:8000/sprites/azelf.png", 4)</f>
        <v>0</v>
      </c>
      <c r="C130" s="0" t="n">
        <f aca="false">image("http://localhost:8000/sprites/dialga.png", 4)</f>
        <v>0</v>
      </c>
      <c r="D130" s="0" t="n">
        <f aca="false">image("http://localhost:8000/sprites/palkia.png", 4)</f>
        <v>0</v>
      </c>
      <c r="E130" s="0" t="n">
        <f aca="false">image("http://localhost:8000/sprites/heatran.png", 4)</f>
        <v>0</v>
      </c>
      <c r="F130" s="0" t="n">
        <f aca="false">image("http://localhost:8000/sprites/regigigas.png", 4)</f>
        <v>0</v>
      </c>
    </row>
    <row r="131" customFormat="false" ht="15" hidden="false" customHeight="false" outlineLevel="0" collapsed="false">
      <c r="A131" s="0" t="s">
        <v>25</v>
      </c>
      <c r="B131" s="0" t="n">
        <f aca="false">image("http://localhost:8000/sprites/cresselia.png", 4)</f>
        <v>0</v>
      </c>
      <c r="C131" s="0" t="n">
        <f aca="false">image("http://localhost:8000/sprites/phione.png", 4)</f>
        <v>0</v>
      </c>
      <c r="D131" s="0" t="n">
        <f aca="false">image("http://localhost:8000/sprites/manaphy.png", 4)</f>
        <v>0</v>
      </c>
      <c r="E131" s="0" t="n">
        <f aca="false">image("http://localhost:8000/sprites/darkrai.png", 4)</f>
        <v>0</v>
      </c>
      <c r="F131" s="0" t="s">
        <v>26</v>
      </c>
    </row>
    <row r="132" customFormat="false" ht="15" hidden="false" customHeight="false" outlineLevel="0" collapsed="false">
      <c r="A132" s="0" t="n">
        <f aca="false">image("http://localhost:8000/sprites/arceus.png", 4)</f>
        <v>0</v>
      </c>
      <c r="B132" s="0" t="n">
        <f aca="false">image("http://localhost:8000/sprites/victini.png", 4)</f>
        <v>0</v>
      </c>
      <c r="C132" s="0" t="n">
        <f aca="false">image("http://localhost:8000/sprites/snivy.png", 4)</f>
        <v>0</v>
      </c>
      <c r="D132" s="0" t="n">
        <f aca="false">image("http://localhost:8000/sprites/servine.png", 4)</f>
        <v>0</v>
      </c>
      <c r="E132" s="0" t="n">
        <f aca="false">image("http://localhost:8000/sprites/serperior.png", 4)</f>
        <v>0</v>
      </c>
      <c r="F132" s="0" t="n">
        <f aca="false">image("http://localhost:8000/sprites/tepig.png", 4)</f>
        <v>0</v>
      </c>
    </row>
    <row r="133" customFormat="false" ht="15" hidden="false" customHeight="false" outlineLevel="0" collapsed="false">
      <c r="A133" s="0" t="n">
        <f aca="false">image("http://localhost:8000/sprites/pignite.png", 4)</f>
        <v>0</v>
      </c>
      <c r="B133" s="0" t="n">
        <f aca="false">image("http://localhost:8000/sprites/emboar.png", 4)</f>
        <v>0</v>
      </c>
      <c r="C133" s="0" t="n">
        <f aca="false">image("http://localhost:8000/sprites/oshawott.png", 4)</f>
        <v>0</v>
      </c>
      <c r="D133" s="0" t="n">
        <f aca="false">image("http://localhost:8000/sprites/dewott.png", 4)</f>
        <v>0</v>
      </c>
      <c r="E133" s="0" t="n">
        <f aca="false">image("http://localhost:8000/sprites/samurott.png", 4)</f>
        <v>0</v>
      </c>
      <c r="F133" s="0" t="n">
        <f aca="false">image("http://localhost:8000/sprites/patrat.png", 4)</f>
        <v>0</v>
      </c>
    </row>
    <row r="134" customFormat="false" ht="15" hidden="false" customHeight="false" outlineLevel="0" collapsed="false">
      <c r="A134" s="0" t="n">
        <f aca="false">image("http://localhost:8000/sprites/watchog.png", 4)</f>
        <v>0</v>
      </c>
      <c r="B134" s="0" t="n">
        <f aca="false">image("http://localhost:8000/sprites/lillipup.png", 4)</f>
        <v>0</v>
      </c>
      <c r="C134" s="0" t="n">
        <f aca="false">image("http://localhost:8000/sprites/herdier.png", 4)</f>
        <v>0</v>
      </c>
      <c r="D134" s="0" t="n">
        <f aca="false">image("http://localhost:8000/sprites/stoutland.png", 4)</f>
        <v>0</v>
      </c>
      <c r="E134" s="0" t="n">
        <f aca="false">image("http://localhost:8000/sprites/purrloin.png", 4)</f>
        <v>0</v>
      </c>
      <c r="F134" s="0" t="n">
        <f aca="false">image("http://localhost:8000/sprites/liepard.png", 4)</f>
        <v>0</v>
      </c>
    </row>
    <row r="137" customFormat="false" ht="15" hidden="false" customHeight="false" outlineLevel="0" collapsed="false">
      <c r="A137" s="1" t="s">
        <v>27</v>
      </c>
      <c r="B137" s="1"/>
      <c r="C137" s="1"/>
      <c r="D137" s="1"/>
      <c r="E137" s="1"/>
      <c r="F137" s="1"/>
    </row>
    <row r="138" customFormat="false" ht="15" hidden="false" customHeight="false" outlineLevel="0" collapsed="false">
      <c r="A138" s="0" t="n">
        <f aca="false">image("http://localhost:8000/sprites/pansage.png", 4)</f>
        <v>0</v>
      </c>
      <c r="B138" s="0" t="n">
        <f aca="false">image("http://localhost:8000/sprites/simisage.png", 4)</f>
        <v>0</v>
      </c>
      <c r="C138" s="0" t="n">
        <f aca="false">image("http://localhost:8000/sprites/pansear.png", 4)</f>
        <v>0</v>
      </c>
      <c r="D138" s="0" t="n">
        <f aca="false">image("http://localhost:8000/sprites/simisear.png", 4)</f>
        <v>0</v>
      </c>
      <c r="E138" s="0" t="n">
        <f aca="false">image("http://localhost:8000/sprites/panpour.png", 4)</f>
        <v>0</v>
      </c>
      <c r="F138" s="0" t="n">
        <f aca="false">image("http://localhost:8000/sprites/simipour.png", 4)</f>
        <v>0</v>
      </c>
    </row>
    <row r="139" customFormat="false" ht="15" hidden="false" customHeight="false" outlineLevel="0" collapsed="false">
      <c r="A139" s="0" t="n">
        <f aca="false">image("http://localhost:8000/sprites/munna.png", 4)</f>
        <v>0</v>
      </c>
      <c r="B139" s="0" t="n">
        <f aca="false">image("http://localhost:8000/sprites/musharna.png", 4)</f>
        <v>0</v>
      </c>
      <c r="C139" s="0" t="n">
        <f aca="false">image("http://localhost:8000/sprites/pidove.png", 4)</f>
        <v>0</v>
      </c>
      <c r="D139" s="0" t="n">
        <f aca="false">image("http://localhost:8000/sprites/tranquill.png", 4)</f>
        <v>0</v>
      </c>
      <c r="E139" s="0" t="n">
        <f aca="false">image("http://localhost:8000/sprites/unfezant.png", 4)</f>
        <v>0</v>
      </c>
      <c r="F139" s="0" t="n">
        <f aca="false">image("http://localhost:8000/sprites/blitzle.png", 4)</f>
        <v>0</v>
      </c>
    </row>
    <row r="140" customFormat="false" ht="15" hidden="false" customHeight="false" outlineLevel="0" collapsed="false">
      <c r="A140" s="0" t="n">
        <f aca="false">image("http://localhost:8000/sprites/zebstrika.png", 4)</f>
        <v>0</v>
      </c>
      <c r="B140" s="0" t="n">
        <f aca="false">image("http://localhost:8000/sprites/roggenrola.png", 4)</f>
        <v>0</v>
      </c>
      <c r="C140" s="0" t="n">
        <f aca="false">image("http://localhost:8000/sprites/boldore.png", 4)</f>
        <v>0</v>
      </c>
      <c r="D140" s="0" t="n">
        <f aca="false">image("http://localhost:8000/sprites/gigalith.png", 4)</f>
        <v>0</v>
      </c>
      <c r="E140" s="0" t="n">
        <f aca="false">image("http://localhost:8000/sprites/woobat.png", 4)</f>
        <v>0</v>
      </c>
      <c r="F140" s="0" t="n">
        <f aca="false">image("http://localhost:8000/sprites/swoobat.png", 4)</f>
        <v>0</v>
      </c>
    </row>
    <row r="141" customFormat="false" ht="15" hidden="false" customHeight="false" outlineLevel="0" collapsed="false">
      <c r="A141" s="0" t="n">
        <f aca="false">image("http://localhost:8000/sprites/drilbur.png", 4)</f>
        <v>0</v>
      </c>
      <c r="B141" s="0" t="n">
        <f aca="false">image("http://localhost:8000/sprites/excadrill.png", 4)</f>
        <v>0</v>
      </c>
      <c r="C141" s="0" t="n">
        <f aca="false">image("http://localhost:8000/sprites/audino.png", 4)</f>
        <v>0</v>
      </c>
      <c r="D141" s="0" t="n">
        <f aca="false">image("http://localhost:8000/sprites/timburr.png", 4)</f>
        <v>0</v>
      </c>
      <c r="E141" s="0" t="n">
        <f aca="false">image("http://localhost:8000/sprites/gurdurr.png", 4)</f>
        <v>0</v>
      </c>
      <c r="F141" s="0" t="n">
        <f aca="false">image("http://localhost:8000/sprites/conkeldurr.png", 4)</f>
        <v>0</v>
      </c>
    </row>
    <row r="142" customFormat="false" ht="15" hidden="false" customHeight="false" outlineLevel="0" collapsed="false">
      <c r="A142" s="0" t="n">
        <f aca="false">image("http://localhost:8000/sprites/tympole.png", 4)</f>
        <v>0</v>
      </c>
      <c r="B142" s="0" t="n">
        <f aca="false">image("http://localhost:8000/sprites/palpitoad.png", 4)</f>
        <v>0</v>
      </c>
      <c r="C142" s="0" t="n">
        <f aca="false">image("http://localhost:8000/sprites/seismitoad.png", 4)</f>
        <v>0</v>
      </c>
      <c r="D142" s="0" t="n">
        <f aca="false">image("http://localhost:8000/sprites/throh.png", 4)</f>
        <v>0</v>
      </c>
      <c r="E142" s="0" t="n">
        <f aca="false">image("http://localhost:8000/sprites/sawk.png", 4)</f>
        <v>0</v>
      </c>
      <c r="F142" s="0" t="n">
        <f aca="false">image("http://localhost:8000/sprites/sewaddle.png", 4)</f>
        <v>0</v>
      </c>
    </row>
    <row r="145" customFormat="false" ht="15" hidden="false" customHeight="false" outlineLevel="0" collapsed="false">
      <c r="A145" s="1" t="s">
        <v>28</v>
      </c>
      <c r="B145" s="1"/>
      <c r="C145" s="1"/>
      <c r="D145" s="1"/>
      <c r="E145" s="1"/>
      <c r="F145" s="1"/>
    </row>
    <row r="146" customFormat="false" ht="15" hidden="false" customHeight="false" outlineLevel="0" collapsed="false">
      <c r="A146" s="0" t="n">
        <f aca="false">image("http://localhost:8000/sprites/swadloon.png", 4)</f>
        <v>0</v>
      </c>
      <c r="B146" s="0" t="n">
        <f aca="false">image("http://localhost:8000/sprites/leavanny.png", 4)</f>
        <v>0</v>
      </c>
      <c r="C146" s="0" t="n">
        <f aca="false">image("http://localhost:8000/sprites/venipede.png", 4)</f>
        <v>0</v>
      </c>
      <c r="D146" s="0" t="n">
        <f aca="false">image("http://localhost:8000/sprites/whirlipede.png", 4)</f>
        <v>0</v>
      </c>
      <c r="E146" s="0" t="n">
        <f aca="false">image("http://localhost:8000/sprites/scolipede.png", 4)</f>
        <v>0</v>
      </c>
      <c r="F146" s="0" t="n">
        <f aca="false">image("http://localhost:8000/sprites/cottonee.png", 4)</f>
        <v>0</v>
      </c>
    </row>
    <row r="147" customFormat="false" ht="15" hidden="false" customHeight="false" outlineLevel="0" collapsed="false">
      <c r="A147" s="0" t="n">
        <f aca="false">image("http://localhost:8000/sprites/whimsicott.png", 4)</f>
        <v>0</v>
      </c>
      <c r="B147" s="0" t="n">
        <f aca="false">image("http://localhost:8000/sprites/petilil.png", 4)</f>
        <v>0</v>
      </c>
      <c r="C147" s="0" t="n">
        <f aca="false">image("http://localhost:8000/sprites/lilligant.png", 4)</f>
        <v>0</v>
      </c>
      <c r="D147" s="0" t="s">
        <v>29</v>
      </c>
      <c r="E147" s="0" t="n">
        <f aca="false">image("http://localhost:8000/sprites/sandile.png", 4)</f>
        <v>0</v>
      </c>
      <c r="F147" s="0" t="n">
        <f aca="false">image("http://localhost:8000/sprites/krokorok.png", 4)</f>
        <v>0</v>
      </c>
    </row>
    <row r="148" customFormat="false" ht="15" hidden="false" customHeight="false" outlineLevel="0" collapsed="false">
      <c r="A148" s="0" t="n">
        <f aca="false">image("http://localhost:8000/sprites/krookodile.png", 4)</f>
        <v>0</v>
      </c>
      <c r="B148" s="0" t="n">
        <f aca="false">image("http://localhost:8000/sprites/darumaka.png", 4)</f>
        <v>0</v>
      </c>
      <c r="C148" s="0" t="s">
        <v>30</v>
      </c>
      <c r="D148" s="0" t="n">
        <f aca="false">image("http://localhost:8000/sprites/maractus.png", 4)</f>
        <v>0</v>
      </c>
      <c r="E148" s="0" t="n">
        <f aca="false">image("http://localhost:8000/sprites/dwebble.png", 4)</f>
        <v>0</v>
      </c>
      <c r="F148" s="0" t="n">
        <f aca="false">image("http://localhost:8000/sprites/crustle.png", 4)</f>
        <v>0</v>
      </c>
    </row>
    <row r="149" customFormat="false" ht="15" hidden="false" customHeight="false" outlineLevel="0" collapsed="false">
      <c r="A149" s="0" t="n">
        <f aca="false">image("http://localhost:8000/sprites/scraggy.png", 4)</f>
        <v>0</v>
      </c>
      <c r="B149" s="0" t="n">
        <f aca="false">image("http://localhost:8000/sprites/scrafty.png", 4)</f>
        <v>0</v>
      </c>
      <c r="C149" s="0" t="n">
        <f aca="false">image("http://localhost:8000/sprites/sigilyph.png", 4)</f>
        <v>0</v>
      </c>
      <c r="D149" s="0" t="n">
        <f aca="false">image("http://localhost:8000/sprites/yamask.png", 4)</f>
        <v>0</v>
      </c>
      <c r="E149" s="0" t="n">
        <f aca="false">image("http://localhost:8000/sprites/cofagrigus.png", 4)</f>
        <v>0</v>
      </c>
      <c r="F149" s="0" t="n">
        <f aca="false">image("http://localhost:8000/sprites/tirtouga.png", 4)</f>
        <v>0</v>
      </c>
    </row>
    <row r="150" customFormat="false" ht="15" hidden="false" customHeight="false" outlineLevel="0" collapsed="false">
      <c r="A150" s="0" t="n">
        <f aca="false">image("http://localhost:8000/sprites/carracosta.png", 4)</f>
        <v>0</v>
      </c>
      <c r="B150" s="0" t="n">
        <f aca="false">image("http://localhost:8000/sprites/archen.png", 4)</f>
        <v>0</v>
      </c>
      <c r="C150" s="0" t="n">
        <f aca="false">image("http://localhost:8000/sprites/archeops.png", 4)</f>
        <v>0</v>
      </c>
      <c r="D150" s="0" t="n">
        <f aca="false">image("http://localhost:8000/sprites/trubbish.png", 4)</f>
        <v>0</v>
      </c>
      <c r="E150" s="0" t="n">
        <f aca="false">image("http://localhost:8000/sprites/garbodor.png", 4)</f>
        <v>0</v>
      </c>
      <c r="F150" s="0" t="n">
        <f aca="false">image("http://localhost:8000/sprites/zorua.png", 4)</f>
        <v>0</v>
      </c>
    </row>
    <row r="153" customFormat="false" ht="15" hidden="false" customHeight="false" outlineLevel="0" collapsed="false">
      <c r="A153" s="1" t="s">
        <v>31</v>
      </c>
      <c r="B153" s="1"/>
      <c r="C153" s="1"/>
      <c r="D153" s="1"/>
      <c r="E153" s="1"/>
      <c r="F153" s="1"/>
    </row>
    <row r="154" customFormat="false" ht="15" hidden="false" customHeight="false" outlineLevel="0" collapsed="false">
      <c r="A154" s="0" t="n">
        <f aca="false">image("http://localhost:8000/sprites/zoroark.png", 4)</f>
        <v>0</v>
      </c>
      <c r="B154" s="0" t="n">
        <f aca="false">image("http://localhost:8000/sprites/minccino.png", 4)</f>
        <v>0</v>
      </c>
      <c r="C154" s="0" t="n">
        <f aca="false">image("http://localhost:8000/sprites/cinccino.png", 4)</f>
        <v>0</v>
      </c>
      <c r="D154" s="0" t="n">
        <f aca="false">image("http://localhost:8000/sprites/gothita.png", 4)</f>
        <v>0</v>
      </c>
      <c r="E154" s="0" t="n">
        <f aca="false">image("http://localhost:8000/sprites/gothorita.png", 4)</f>
        <v>0</v>
      </c>
      <c r="F154" s="0" t="n">
        <f aca="false">image("http://localhost:8000/sprites/gothitelle.png", 4)</f>
        <v>0</v>
      </c>
    </row>
    <row r="155" customFormat="false" ht="15" hidden="false" customHeight="false" outlineLevel="0" collapsed="false">
      <c r="A155" s="0" t="n">
        <f aca="false">image("http://localhost:8000/sprites/solosis.png", 4)</f>
        <v>0</v>
      </c>
      <c r="B155" s="0" t="n">
        <f aca="false">image("http://localhost:8000/sprites/duosion.png", 4)</f>
        <v>0</v>
      </c>
      <c r="C155" s="0" t="n">
        <f aca="false">image("http://localhost:8000/sprites/reuniclus.png", 4)</f>
        <v>0</v>
      </c>
      <c r="D155" s="0" t="n">
        <f aca="false">image("http://localhost:8000/sprites/ducklett.png", 4)</f>
        <v>0</v>
      </c>
      <c r="E155" s="0" t="n">
        <f aca="false">image("http://localhost:8000/sprites/swanna.png", 4)</f>
        <v>0</v>
      </c>
      <c r="F155" s="0" t="n">
        <f aca="false">image("http://localhost:8000/sprites/vanillite.png", 4)</f>
        <v>0</v>
      </c>
    </row>
    <row r="156" customFormat="false" ht="15" hidden="false" customHeight="false" outlineLevel="0" collapsed="false">
      <c r="A156" s="0" t="n">
        <f aca="false">image("http://localhost:8000/sprites/vanillish.png", 4)</f>
        <v>0</v>
      </c>
      <c r="B156" s="0" t="n">
        <f aca="false">image("http://localhost:8000/sprites/vanilluxe.png", 4)</f>
        <v>0</v>
      </c>
      <c r="C156" s="0" t="n">
        <f aca="false">image("http://localhost:8000/sprites/deerling.png", 4)</f>
        <v>0</v>
      </c>
      <c r="D156" s="0" t="n">
        <f aca="false">image("http://localhost:8000/sprites/sawsbuck.png", 4)</f>
        <v>0</v>
      </c>
      <c r="E156" s="0" t="n">
        <f aca="false">image("http://localhost:8000/sprites/emolga.png", 4)</f>
        <v>0</v>
      </c>
      <c r="F156" s="0" t="n">
        <f aca="false">image("http://localhost:8000/sprites/karrablast.png", 4)</f>
        <v>0</v>
      </c>
    </row>
    <row r="157" customFormat="false" ht="15" hidden="false" customHeight="false" outlineLevel="0" collapsed="false">
      <c r="A157" s="0" t="n">
        <f aca="false">image("http://localhost:8000/sprites/escavalier.png", 4)</f>
        <v>0</v>
      </c>
      <c r="B157" s="0" t="n">
        <f aca="false">image("http://localhost:8000/sprites/foongus.png", 4)</f>
        <v>0</v>
      </c>
      <c r="C157" s="0" t="n">
        <f aca="false">image("http://localhost:8000/sprites/amoonguss.png", 4)</f>
        <v>0</v>
      </c>
      <c r="D157" s="0" t="n">
        <f aca="false">image("http://localhost:8000/sprites/frillish.png", 4)</f>
        <v>0</v>
      </c>
      <c r="E157" s="0" t="n">
        <f aca="false">image("http://localhost:8000/sprites/jellicent.png", 4)</f>
        <v>0</v>
      </c>
      <c r="F157" s="0" t="n">
        <f aca="false">image("http://localhost:8000/sprites/alomomola.png", 4)</f>
        <v>0</v>
      </c>
    </row>
    <row r="158" customFormat="false" ht="15" hidden="false" customHeight="false" outlineLevel="0" collapsed="false">
      <c r="A158" s="0" t="n">
        <f aca="false">image("http://localhost:8000/sprites/joltik.png", 4)</f>
        <v>0</v>
      </c>
      <c r="B158" s="0" t="n">
        <f aca="false">image("http://localhost:8000/sprites/galvantula.png", 4)</f>
        <v>0</v>
      </c>
      <c r="C158" s="0" t="n">
        <f aca="false">image("http://localhost:8000/sprites/ferroseed.png", 4)</f>
        <v>0</v>
      </c>
      <c r="D158" s="0" t="n">
        <f aca="false">image("http://localhost:8000/sprites/ferrothorn.png", 4)</f>
        <v>0</v>
      </c>
      <c r="E158" s="0" t="n">
        <f aca="false">image("http://localhost:8000/sprites/klink.png", 4)</f>
        <v>0</v>
      </c>
      <c r="F158" s="0" t="n">
        <f aca="false">image("http://localhost:8000/sprites/klang.png", 4)</f>
        <v>0</v>
      </c>
    </row>
    <row r="161" customFormat="false" ht="15" hidden="false" customHeight="false" outlineLevel="0" collapsed="false">
      <c r="A161" s="1" t="s">
        <v>32</v>
      </c>
      <c r="B161" s="1"/>
      <c r="C161" s="1"/>
      <c r="D161" s="1"/>
      <c r="E161" s="1"/>
      <c r="F161" s="1"/>
    </row>
    <row r="162" customFormat="false" ht="15" hidden="false" customHeight="false" outlineLevel="0" collapsed="false">
      <c r="A162" s="0" t="n">
        <f aca="false">image("http://localhost:8000/sprites/klinklang.png", 4)</f>
        <v>0</v>
      </c>
      <c r="B162" s="0" t="n">
        <f aca="false">image("http://localhost:8000/sprites/tynamo.png", 4)</f>
        <v>0</v>
      </c>
      <c r="C162" s="0" t="n">
        <f aca="false">image("http://localhost:8000/sprites/eelektrik.png", 4)</f>
        <v>0</v>
      </c>
      <c r="D162" s="0" t="n">
        <f aca="false">image("http://localhost:8000/sprites/eelektross.png", 4)</f>
        <v>0</v>
      </c>
      <c r="E162" s="0" t="n">
        <f aca="false">image("http://localhost:8000/sprites/elgyem.png", 4)</f>
        <v>0</v>
      </c>
      <c r="F162" s="0" t="n">
        <f aca="false">image("http://localhost:8000/sprites/beheeyem.png", 4)</f>
        <v>0</v>
      </c>
    </row>
    <row r="163" customFormat="false" ht="15" hidden="false" customHeight="false" outlineLevel="0" collapsed="false">
      <c r="A163" s="0" t="n">
        <f aca="false">image("http://localhost:8000/sprites/litwick.png", 4)</f>
        <v>0</v>
      </c>
      <c r="B163" s="0" t="n">
        <f aca="false">image("http://localhost:8000/sprites/lampent.png", 4)</f>
        <v>0</v>
      </c>
      <c r="C163" s="0" t="n">
        <f aca="false">image("http://localhost:8000/sprites/chandelure.png", 4)</f>
        <v>0</v>
      </c>
      <c r="D163" s="0" t="n">
        <f aca="false">image("http://localhost:8000/sprites/axew.png", 4)</f>
        <v>0</v>
      </c>
      <c r="E163" s="0" t="n">
        <f aca="false">image("http://localhost:8000/sprites/fraxure.png", 4)</f>
        <v>0</v>
      </c>
      <c r="F163" s="0" t="n">
        <f aca="false">image("http://localhost:8000/sprites/haxorus.png", 4)</f>
        <v>0</v>
      </c>
    </row>
    <row r="164" customFormat="false" ht="15" hidden="false" customHeight="false" outlineLevel="0" collapsed="false">
      <c r="A164" s="0" t="n">
        <f aca="false">image("http://localhost:8000/sprites/cubchoo.png", 4)</f>
        <v>0</v>
      </c>
      <c r="B164" s="0" t="n">
        <f aca="false">image("http://localhost:8000/sprites/beartic.png", 4)</f>
        <v>0</v>
      </c>
      <c r="C164" s="0" t="n">
        <f aca="false">image("http://localhost:8000/sprites/cryogonal.png", 4)</f>
        <v>0</v>
      </c>
      <c r="D164" s="0" t="n">
        <f aca="false">image("http://localhost:8000/sprites/shelmet.png", 4)</f>
        <v>0</v>
      </c>
      <c r="E164" s="0" t="n">
        <f aca="false">image("http://localhost:8000/sprites/accelgor.png", 4)</f>
        <v>0</v>
      </c>
      <c r="F164" s="0" t="n">
        <f aca="false">image("http://localhost:8000/sprites/stunfisk.png", 4)</f>
        <v>0</v>
      </c>
    </row>
    <row r="165" customFormat="false" ht="15" hidden="false" customHeight="false" outlineLevel="0" collapsed="false">
      <c r="A165" s="0" t="n">
        <f aca="false">image("http://localhost:8000/sprites/mienfoo.png", 4)</f>
        <v>0</v>
      </c>
      <c r="B165" s="0" t="n">
        <f aca="false">image("http://localhost:8000/sprites/mienshao.png", 4)</f>
        <v>0</v>
      </c>
      <c r="C165" s="0" t="n">
        <f aca="false">image("http://localhost:8000/sprites/druddigon.png", 4)</f>
        <v>0</v>
      </c>
      <c r="D165" s="0" t="n">
        <f aca="false">image("http://localhost:8000/sprites/golett.png", 4)</f>
        <v>0</v>
      </c>
      <c r="E165" s="0" t="n">
        <f aca="false">image("http://localhost:8000/sprites/golurk.png", 4)</f>
        <v>0</v>
      </c>
      <c r="F165" s="0" t="n">
        <f aca="false">image("http://localhost:8000/sprites/pawniard.png", 4)</f>
        <v>0</v>
      </c>
    </row>
    <row r="166" customFormat="false" ht="15" hidden="false" customHeight="false" outlineLevel="0" collapsed="false">
      <c r="A166" s="0" t="n">
        <f aca="false">image("http://localhost:8000/sprites/bisharp.png", 4)</f>
        <v>0</v>
      </c>
      <c r="B166" s="0" t="n">
        <f aca="false">image("http://localhost:8000/sprites/bouffalant.png", 4)</f>
        <v>0</v>
      </c>
      <c r="C166" s="0" t="n">
        <f aca="false">image("http://localhost:8000/sprites/rufflet.png", 4)</f>
        <v>0</v>
      </c>
      <c r="D166" s="0" t="n">
        <f aca="false">image("http://localhost:8000/sprites/braviary.png", 4)</f>
        <v>0</v>
      </c>
      <c r="E166" s="0" t="n">
        <f aca="false">image("http://localhost:8000/sprites/vullaby.png", 4)</f>
        <v>0</v>
      </c>
      <c r="F166" s="0" t="n">
        <f aca="false">image("http://localhost:8000/sprites/mandibuzz.png", 4)</f>
        <v>0</v>
      </c>
    </row>
    <row r="169" customFormat="false" ht="15" hidden="false" customHeight="false" outlineLevel="0" collapsed="false">
      <c r="A169" s="1" t="s">
        <v>33</v>
      </c>
      <c r="B169" s="1"/>
      <c r="C169" s="1"/>
      <c r="D169" s="1"/>
      <c r="E169" s="1"/>
      <c r="F169" s="1"/>
    </row>
    <row r="170" customFormat="false" ht="15" hidden="false" customHeight="false" outlineLevel="0" collapsed="false">
      <c r="A170" s="0" t="n">
        <f aca="false">image("http://localhost:8000/sprites/heatmor.png", 4)</f>
        <v>0</v>
      </c>
      <c r="B170" s="0" t="n">
        <f aca="false">image("http://localhost:8000/sprites/durant.png", 4)</f>
        <v>0</v>
      </c>
      <c r="C170" s="0" t="n">
        <f aca="false">image("http://localhost:8000/sprites/deino.png", 4)</f>
        <v>0</v>
      </c>
      <c r="D170" s="0" t="n">
        <f aca="false">image("http://localhost:8000/sprites/zweilous.png", 4)</f>
        <v>0</v>
      </c>
      <c r="E170" s="0" t="n">
        <f aca="false">image("http://localhost:8000/sprites/hydreigon.png", 4)</f>
        <v>0</v>
      </c>
      <c r="F170" s="0" t="n">
        <f aca="false">image("http://localhost:8000/sprites/larvesta.png", 4)</f>
        <v>0</v>
      </c>
    </row>
    <row r="171" customFormat="false" ht="15" hidden="false" customHeight="false" outlineLevel="0" collapsed="false">
      <c r="A171" s="0" t="n">
        <f aca="false">image("http://localhost:8000/sprites/volcarona.png", 4)</f>
        <v>0</v>
      </c>
      <c r="B171" s="0" t="n">
        <f aca="false">image("http://localhost:8000/sprites/cobalion.png", 4)</f>
        <v>0</v>
      </c>
      <c r="C171" s="0" t="n">
        <f aca="false">image("http://localhost:8000/sprites/terrakion.png", 4)</f>
        <v>0</v>
      </c>
      <c r="D171" s="0" t="n">
        <f aca="false">image("http://localhost:8000/sprites/virizion.png", 4)</f>
        <v>0</v>
      </c>
      <c r="E171" s="0" t="s">
        <v>34</v>
      </c>
      <c r="F171" s="0" t="s">
        <v>35</v>
      </c>
    </row>
    <row r="172" customFormat="false" ht="15" hidden="false" customHeight="false" outlineLevel="0" collapsed="false">
      <c r="A172" s="0" t="n">
        <f aca="false">image("http://localhost:8000/sprites/reshiram.png", 4)</f>
        <v>0</v>
      </c>
      <c r="B172" s="0" t="n">
        <f aca="false">image("http://localhost:8000/sprites/zekrom.png", 4)</f>
        <v>0</v>
      </c>
      <c r="C172" s="0" t="s">
        <v>36</v>
      </c>
      <c r="D172" s="0" t="n">
        <f aca="false">image("http://localhost:8000/sprites/kyurem.png", 4)</f>
        <v>0</v>
      </c>
      <c r="E172" s="0" t="s">
        <v>37</v>
      </c>
      <c r="F172" s="0" t="s">
        <v>38</v>
      </c>
    </row>
    <row r="173" customFormat="false" ht="15" hidden="false" customHeight="false" outlineLevel="0" collapsed="false">
      <c r="A173" s="0" t="n">
        <f aca="false">image("http://localhost:8000/sprites/genesect.png", 4)</f>
        <v>0</v>
      </c>
      <c r="B173" s="0" t="n">
        <f aca="false">image("http://localhost:8000/sprites/chespin.png", 4)</f>
        <v>0</v>
      </c>
      <c r="C173" s="0" t="n">
        <f aca="false">image("http://localhost:8000/sprites/quilladin.png", 4)</f>
        <v>0</v>
      </c>
      <c r="D173" s="0" t="n">
        <f aca="false">image("http://localhost:8000/sprites/chesnaught.png", 4)</f>
        <v>0</v>
      </c>
      <c r="E173" s="0" t="n">
        <f aca="false">image("http://localhost:8000/sprites/fennekin.png", 4)</f>
        <v>0</v>
      </c>
      <c r="F173" s="0" t="n">
        <f aca="false">image("http://localhost:8000/sprites/braixen.png", 4)</f>
        <v>0</v>
      </c>
    </row>
    <row r="174" customFormat="false" ht="15" hidden="false" customHeight="false" outlineLevel="0" collapsed="false">
      <c r="A174" s="0" t="n">
        <f aca="false">image("http://localhost:8000/sprites/delphox.png", 4)</f>
        <v>0</v>
      </c>
      <c r="B174" s="0" t="n">
        <f aca="false">image("http://localhost:8000/sprites/froakie.png", 4)</f>
        <v>0</v>
      </c>
      <c r="C174" s="0" t="n">
        <f aca="false">image("http://localhost:8000/sprites/frogadier.png", 4)</f>
        <v>0</v>
      </c>
      <c r="D174" s="0" t="n">
        <f aca="false">image("http://localhost:8000/sprites/greninja.png", 4)</f>
        <v>0</v>
      </c>
      <c r="E174" s="0" t="n">
        <f aca="false">image("http://localhost:8000/sprites/bunnelby.png", 4)</f>
        <v>0</v>
      </c>
      <c r="F174" s="0" t="n">
        <f aca="false">image("http://localhost:8000/sprites/diggersby.png", 4)</f>
        <v>0</v>
      </c>
    </row>
    <row r="177" customFormat="false" ht="15" hidden="false" customHeight="false" outlineLevel="0" collapsed="false">
      <c r="A177" s="1" t="s">
        <v>39</v>
      </c>
      <c r="B177" s="1"/>
      <c r="C177" s="1"/>
      <c r="D177" s="1"/>
      <c r="E177" s="1"/>
      <c r="F177" s="1"/>
    </row>
    <row r="178" customFormat="false" ht="15" hidden="false" customHeight="false" outlineLevel="0" collapsed="false">
      <c r="A178" s="0" t="n">
        <f aca="false">image("http://localhost:8000/sprites/fletchling.png", 4)</f>
        <v>0</v>
      </c>
      <c r="B178" s="0" t="n">
        <f aca="false">image("http://localhost:8000/sprites/fletchinder.png", 4)</f>
        <v>0</v>
      </c>
      <c r="C178" s="0" t="n">
        <f aca="false">image("http://localhost:8000/sprites/talonflame.png", 4)</f>
        <v>0</v>
      </c>
      <c r="D178" s="0" t="n">
        <f aca="false">image("http://localhost:8000/sprites/scatterbug.png", 4)</f>
        <v>0</v>
      </c>
      <c r="E178" s="0" t="n">
        <f aca="false">image("http://localhost:8000/sprites/spewpa.png", 4)</f>
        <v>0</v>
      </c>
      <c r="F178" s="0" t="n">
        <f aca="false">image("http://localhost:8000/sprites/vivillon.png", 4)</f>
        <v>0</v>
      </c>
    </row>
    <row r="179" customFormat="false" ht="15" hidden="false" customHeight="false" outlineLevel="0" collapsed="false">
      <c r="A179" s="0" t="n">
        <f aca="false">image("http://localhost:8000/sprites/litleo.png", 4)</f>
        <v>0</v>
      </c>
      <c r="B179" s="0" t="n">
        <f aca="false">image("http://localhost:8000/sprites/pyroar.png", 4)</f>
        <v>0</v>
      </c>
      <c r="C179" s="0" t="n">
        <f aca="false">image("http://localhost:8000/sprites/flabebe.png", 4)</f>
        <v>0</v>
      </c>
      <c r="D179" s="0" t="n">
        <f aca="false">image("http://localhost:8000/sprites/floette.png", 4)</f>
        <v>0</v>
      </c>
      <c r="E179" s="0" t="n">
        <f aca="false">image("http://localhost:8000/sprites/florges.png", 4)</f>
        <v>0</v>
      </c>
      <c r="F179" s="0" t="n">
        <f aca="false">image("http://localhost:8000/sprites/skiddo.png", 4)</f>
        <v>0</v>
      </c>
    </row>
    <row r="180" customFormat="false" ht="15" hidden="false" customHeight="false" outlineLevel="0" collapsed="false">
      <c r="A180" s="0" t="n">
        <f aca="false">image("http://localhost:8000/sprites/gogoat.png", 4)</f>
        <v>0</v>
      </c>
      <c r="B180" s="0" t="n">
        <f aca="false">image("http://localhost:8000/sprites/pancham.png", 4)</f>
        <v>0</v>
      </c>
      <c r="C180" s="0" t="n">
        <f aca="false">image("http://localhost:8000/sprites/pangoro.png", 4)</f>
        <v>0</v>
      </c>
      <c r="D180" s="0" t="n">
        <f aca="false">image("http://localhost:8000/sprites/furfrou.png", 4)</f>
        <v>0</v>
      </c>
      <c r="E180" s="0" t="n">
        <f aca="false">image("http://localhost:8000/sprites/espurr.png", 4)</f>
        <v>0</v>
      </c>
      <c r="F180" s="0" t="s">
        <v>40</v>
      </c>
    </row>
    <row r="181" customFormat="false" ht="15" hidden="false" customHeight="false" outlineLevel="0" collapsed="false">
      <c r="A181" s="0" t="n">
        <f aca="false">image("http://localhost:8000/sprites/honedge.png", 4)</f>
        <v>0</v>
      </c>
      <c r="B181" s="0" t="n">
        <f aca="false">image("http://localhost:8000/sprites/doublade.png", 4)</f>
        <v>0</v>
      </c>
      <c r="C181" s="0" t="s">
        <v>41</v>
      </c>
      <c r="D181" s="0" t="n">
        <f aca="false">image("http://localhost:8000/sprites/spritzee.png", 4)</f>
        <v>0</v>
      </c>
      <c r="E181" s="0" t="n">
        <f aca="false">image("http://localhost:8000/sprites/aromatisse.png", 4)</f>
        <v>0</v>
      </c>
      <c r="F181" s="0" t="n">
        <f aca="false">image("http://localhost:8000/sprites/swirlix.png", 4)</f>
        <v>0</v>
      </c>
    </row>
    <row r="182" customFormat="false" ht="15" hidden="false" customHeight="false" outlineLevel="0" collapsed="false">
      <c r="A182" s="0" t="n">
        <f aca="false">image("http://localhost:8000/sprites/slurpuff.png", 4)</f>
        <v>0</v>
      </c>
      <c r="B182" s="0" t="n">
        <f aca="false">image("http://localhost:8000/sprites/inkay.png", 4)</f>
        <v>0</v>
      </c>
      <c r="C182" s="0" t="n">
        <f aca="false">image("http://localhost:8000/sprites/malamar.png", 4)</f>
        <v>0</v>
      </c>
      <c r="D182" s="0" t="n">
        <f aca="false">image("http://localhost:8000/sprites/binacle.png", 4)</f>
        <v>0</v>
      </c>
      <c r="E182" s="0" t="n">
        <f aca="false">image("http://localhost:8000/sprites/barbaracle.png", 4)</f>
        <v>0</v>
      </c>
      <c r="F182" s="0" t="n">
        <f aca="false">image("http://localhost:8000/sprites/skrelp.png", 4)</f>
        <v>0</v>
      </c>
    </row>
    <row r="185" customFormat="false" ht="15" hidden="false" customHeight="false" outlineLevel="0" collapsed="false">
      <c r="A185" s="1" t="s">
        <v>42</v>
      </c>
      <c r="B185" s="1"/>
      <c r="C185" s="1"/>
      <c r="D185" s="1"/>
      <c r="E185" s="1"/>
      <c r="F185" s="1"/>
    </row>
    <row r="186" customFormat="false" ht="15" hidden="false" customHeight="false" outlineLevel="0" collapsed="false">
      <c r="A186" s="0" t="n">
        <f aca="false">image("http://localhost:8000/sprites/dragalge.png", 4)</f>
        <v>0</v>
      </c>
      <c r="B186" s="0" t="n">
        <f aca="false">image("http://localhost:8000/sprites/clauncher.png", 4)</f>
        <v>0</v>
      </c>
      <c r="C186" s="0" t="n">
        <f aca="false">image("http://localhost:8000/sprites/clawitzer.png", 4)</f>
        <v>0</v>
      </c>
      <c r="D186" s="0" t="n">
        <f aca="false">image("http://localhost:8000/sprites/helioptile.png", 4)</f>
        <v>0</v>
      </c>
      <c r="E186" s="0" t="n">
        <f aca="false">image("http://localhost:8000/sprites/heliolisk.png", 4)</f>
        <v>0</v>
      </c>
      <c r="F186" s="0" t="n">
        <f aca="false">image("http://localhost:8000/sprites/tyrunt.png", 4)</f>
        <v>0</v>
      </c>
    </row>
    <row r="187" customFormat="false" ht="15" hidden="false" customHeight="false" outlineLevel="0" collapsed="false">
      <c r="A187" s="0" t="n">
        <f aca="false">image("http://localhost:8000/sprites/tyrantrum.png", 4)</f>
        <v>0</v>
      </c>
      <c r="B187" s="0" t="n">
        <f aca="false">image("http://localhost:8000/sprites/amaura.png", 4)</f>
        <v>0</v>
      </c>
      <c r="C187" s="0" t="n">
        <f aca="false">image("http://localhost:8000/sprites/aurorus.png", 4)</f>
        <v>0</v>
      </c>
      <c r="D187" s="0" t="n">
        <f aca="false">image("http://localhost:8000/sprites/sylveon.png", 4)</f>
        <v>0</v>
      </c>
      <c r="E187" s="0" t="n">
        <f aca="false">image("http://localhost:8000/sprites/hawlucha.png", 4)</f>
        <v>0</v>
      </c>
      <c r="F187" s="0" t="n">
        <f aca="false">image("http://localhost:8000/sprites/dedenne.png", 4)</f>
        <v>0</v>
      </c>
    </row>
    <row r="188" customFormat="false" ht="15" hidden="false" customHeight="false" outlineLevel="0" collapsed="false">
      <c r="A188" s="0" t="n">
        <f aca="false">image("http://localhost:8000/sprites/carbink.png", 4)</f>
        <v>0</v>
      </c>
      <c r="B188" s="0" t="n">
        <f aca="false">image("http://localhost:8000/sprites/goomy.png", 4)</f>
        <v>0</v>
      </c>
      <c r="C188" s="0" t="n">
        <f aca="false">image("http://localhost:8000/sprites/sliggoo.png", 4)</f>
        <v>0</v>
      </c>
      <c r="D188" s="0" t="n">
        <f aca="false">image("http://localhost:8000/sprites/goodra.png", 4)</f>
        <v>0</v>
      </c>
      <c r="E188" s="0" t="n">
        <f aca="false">image("http://localhost:8000/sprites/klefki.png", 4)</f>
        <v>0</v>
      </c>
      <c r="F188" s="0" t="n">
        <f aca="false">image("http://localhost:8000/sprites/phantump.png", 4)</f>
        <v>0</v>
      </c>
    </row>
    <row r="189" customFormat="false" ht="15" hidden="false" customHeight="false" outlineLevel="0" collapsed="false">
      <c r="A189" s="0" t="n">
        <f aca="false">image("http://localhost:8000/sprites/trevenant.png", 4)</f>
        <v>0</v>
      </c>
      <c r="B189" s="0" t="s">
        <v>43</v>
      </c>
      <c r="C189" s="0" t="s">
        <v>44</v>
      </c>
      <c r="D189" s="0" t="n">
        <f aca="false">image("http://localhost:8000/sprites/bergmite.png", 4)</f>
        <v>0</v>
      </c>
      <c r="E189" s="0" t="n">
        <f aca="false">image("http://localhost:8000/sprites/avalugg.png", 4)</f>
        <v>0</v>
      </c>
      <c r="F189" s="0" t="n">
        <f aca="false">image("http://localhost:8000/sprites/noibat.png", 4)</f>
        <v>0</v>
      </c>
    </row>
    <row r="190" customFormat="false" ht="15" hidden="false" customHeight="false" outlineLevel="0" collapsed="false">
      <c r="A190" s="0" t="n">
        <f aca="false">image("http://localhost:8000/sprites/noivern.png", 4)</f>
        <v>0</v>
      </c>
      <c r="B190" s="0" t="n">
        <f aca="false">image("http://localhost:8000/sprites/xerneas.png", 4)</f>
        <v>0</v>
      </c>
      <c r="C190" s="0" t="n">
        <f aca="false">image("http://localhost:8000/sprites/yveltal.png", 4)</f>
        <v>0</v>
      </c>
      <c r="D190" s="0" t="s">
        <v>45</v>
      </c>
      <c r="E190" s="0" t="n">
        <f aca="false">image("http://localhost:8000/sprites/diancie.png", 4)</f>
        <v>0</v>
      </c>
      <c r="F190" s="0" t="n">
        <f aca="false">image("http://localhost:8000/sprites/hoopa.png", 4)</f>
        <v>0</v>
      </c>
    </row>
    <row r="193" customFormat="false" ht="15" hidden="false" customHeight="false" outlineLevel="0" collapsed="false">
      <c r="A193" s="1" t="s">
        <v>46</v>
      </c>
      <c r="B193" s="1"/>
      <c r="C193" s="1"/>
      <c r="D193" s="1"/>
      <c r="E193" s="1"/>
      <c r="F193" s="1"/>
    </row>
    <row r="194" customFormat="false" ht="15" hidden="false" customHeight="false" outlineLevel="0" collapsed="false">
      <c r="A194" s="0" t="n">
        <f aca="false">image("http://localhost:8000/sprites/volcanion.png", 4)</f>
        <v>0</v>
      </c>
      <c r="B194" s="0" t="n">
        <f aca="false">image("http://localhost:8000/sprites/rowlet.png", 4)</f>
        <v>0</v>
      </c>
      <c r="C194" s="0" t="n">
        <f aca="false">image("http://localhost:8000/sprites/dartrix.png", 4)</f>
        <v>0</v>
      </c>
      <c r="D194" s="0" t="n">
        <f aca="false">image("http://localhost:8000/sprites/decidueye.png", 4)</f>
        <v>0</v>
      </c>
      <c r="E194" s="0" t="n">
        <f aca="false">image("http://localhost:8000/sprites/litten.png", 4)</f>
        <v>0</v>
      </c>
      <c r="F194" s="0" t="n">
        <f aca="false">image("http://localhost:8000/sprites/torracat.png", 4)</f>
        <v>0</v>
      </c>
    </row>
    <row r="195" customFormat="false" ht="15" hidden="false" customHeight="false" outlineLevel="0" collapsed="false">
      <c r="A195" s="0" t="n">
        <f aca="false">image("http://localhost:8000/sprites/incineroar.png", 4)</f>
        <v>0</v>
      </c>
      <c r="B195" s="0" t="n">
        <f aca="false">image("http://localhost:8000/sprites/popplio.png", 4)</f>
        <v>0</v>
      </c>
      <c r="C195" s="0" t="n">
        <f aca="false">image("http://localhost:8000/sprites/brionne.png", 4)</f>
        <v>0</v>
      </c>
      <c r="D195" s="0" t="n">
        <f aca="false">image("http://localhost:8000/sprites/primarina.png", 4)</f>
        <v>0</v>
      </c>
      <c r="E195" s="0" t="n">
        <f aca="false">image("http://localhost:8000/sprites/pikipek.png", 4)</f>
        <v>0</v>
      </c>
      <c r="F195" s="0" t="n">
        <f aca="false">image("http://localhost:8000/sprites/trumbeak.png", 4)</f>
        <v>0</v>
      </c>
    </row>
    <row r="196" customFormat="false" ht="15" hidden="false" customHeight="false" outlineLevel="0" collapsed="false">
      <c r="A196" s="0" t="n">
        <f aca="false">image("http://localhost:8000/sprites/toucannon.png", 4)</f>
        <v>0</v>
      </c>
      <c r="B196" s="0" t="n">
        <f aca="false">image("http://localhost:8000/sprites/yungoos.png", 4)</f>
        <v>0</v>
      </c>
      <c r="C196" s="0" t="n">
        <f aca="false">image("http://localhost:8000/sprites/gumshoos.png", 4)</f>
        <v>0</v>
      </c>
      <c r="D196" s="0" t="n">
        <f aca="false">image("http://localhost:8000/sprites/grubbin.png", 4)</f>
        <v>0</v>
      </c>
      <c r="E196" s="0" t="n">
        <f aca="false">image("http://localhost:8000/sprites/charjabug.png", 4)</f>
        <v>0</v>
      </c>
      <c r="F196" s="0" t="n">
        <f aca="false">image("http://localhost:8000/sprites/vikavolt.png", 4)</f>
        <v>0</v>
      </c>
    </row>
    <row r="197" customFormat="false" ht="15" hidden="false" customHeight="false" outlineLevel="0" collapsed="false">
      <c r="A197" s="0" t="n">
        <f aca="false">image("http://localhost:8000/sprites/crabrawler.png", 4)</f>
        <v>0</v>
      </c>
      <c r="B197" s="0" t="n">
        <f aca="false">image("http://localhost:8000/sprites/crabominable.png", 4)</f>
        <v>0</v>
      </c>
      <c r="C197" s="0" t="s">
        <v>47</v>
      </c>
      <c r="D197" s="0" t="n">
        <f aca="false">image("http://localhost:8000/sprites/cutiefly.png", 4)</f>
        <v>0</v>
      </c>
      <c r="E197" s="0" t="n">
        <f aca="false">image("http://localhost:8000/sprites/ribombee.png", 4)</f>
        <v>0</v>
      </c>
      <c r="F197" s="0" t="n">
        <f aca="false">image("http://localhost:8000/sprites/rockruff.png", 4)</f>
        <v>0</v>
      </c>
    </row>
    <row r="198" customFormat="false" ht="15" hidden="false" customHeight="false" outlineLevel="0" collapsed="false">
      <c r="A198" s="0" t="s">
        <v>48</v>
      </c>
      <c r="B198" s="0" t="s">
        <v>49</v>
      </c>
      <c r="C198" s="0" t="n">
        <f aca="false">image("http://localhost:8000/sprites/mareanie.png", 4)</f>
        <v>0</v>
      </c>
      <c r="D198" s="0" t="n">
        <f aca="false">image("http://localhost:8000/sprites/toxapex.png", 4)</f>
        <v>0</v>
      </c>
      <c r="E198" s="0" t="n">
        <f aca="false">image("http://localhost:8000/sprites/mudbray.png", 4)</f>
        <v>0</v>
      </c>
      <c r="F198" s="0" t="n">
        <f aca="false">image("http://localhost:8000/sprites/mudsdale.png", 4)</f>
        <v>0</v>
      </c>
    </row>
    <row r="201" customFormat="false" ht="15" hidden="false" customHeight="false" outlineLevel="0" collapsed="false">
      <c r="A201" s="1" t="s">
        <v>50</v>
      </c>
      <c r="B201" s="1"/>
      <c r="C201" s="1"/>
      <c r="D201" s="1"/>
      <c r="E201" s="1"/>
      <c r="F201" s="1"/>
    </row>
    <row r="202" customFormat="false" ht="15" hidden="false" customHeight="false" outlineLevel="0" collapsed="false">
      <c r="A202" s="0" t="n">
        <f aca="false">image("http://localhost:8000/sprites/dewpider.png", 4)</f>
        <v>0</v>
      </c>
      <c r="B202" s="0" t="n">
        <f aca="false">image("http://localhost:8000/sprites/araquanid.png", 4)</f>
        <v>0</v>
      </c>
      <c r="C202" s="0" t="n">
        <f aca="false">image("http://localhost:8000/sprites/fomantis.png", 4)</f>
        <v>0</v>
      </c>
      <c r="D202" s="0" t="n">
        <f aca="false">image("http://localhost:8000/sprites/lurantis.png", 4)</f>
        <v>0</v>
      </c>
      <c r="E202" s="0" t="n">
        <f aca="false">image("http://localhost:8000/sprites/morelull.png", 4)</f>
        <v>0</v>
      </c>
      <c r="F202" s="0" t="n">
        <f aca="false">image("http://localhost:8000/sprites/shiinotic.png", 4)</f>
        <v>0</v>
      </c>
    </row>
    <row r="203" customFormat="false" ht="15" hidden="false" customHeight="false" outlineLevel="0" collapsed="false">
      <c r="A203" s="0" t="n">
        <f aca="false">image("http://localhost:8000/sprites/salandit.png", 4)</f>
        <v>0</v>
      </c>
      <c r="B203" s="0" t="n">
        <f aca="false">image("http://localhost:8000/sprites/salazzle.png", 4)</f>
        <v>0</v>
      </c>
      <c r="C203" s="0" t="n">
        <f aca="false">image("http://localhost:8000/sprites/stufful.png", 4)</f>
        <v>0</v>
      </c>
      <c r="D203" s="0" t="n">
        <f aca="false">image("http://localhost:8000/sprites/bewear.png", 4)</f>
        <v>0</v>
      </c>
      <c r="E203" s="0" t="n">
        <f aca="false">image("http://localhost:8000/sprites/bounsweet.png", 4)</f>
        <v>0</v>
      </c>
      <c r="F203" s="0" t="n">
        <f aca="false">image("http://localhost:8000/sprites/steenee.png", 4)</f>
        <v>0</v>
      </c>
    </row>
    <row r="204" customFormat="false" ht="15" hidden="false" customHeight="false" outlineLevel="0" collapsed="false">
      <c r="A204" s="0" t="n">
        <f aca="false">image("http://localhost:8000/sprites/tsareena.png", 4)</f>
        <v>0</v>
      </c>
      <c r="B204" s="0" t="n">
        <f aca="false">image("http://localhost:8000/sprites/comfey.png", 4)</f>
        <v>0</v>
      </c>
      <c r="C204" s="0" t="n">
        <f aca="false">image("http://localhost:8000/sprites/oranguru.png", 4)</f>
        <v>0</v>
      </c>
      <c r="D204" s="0" t="n">
        <f aca="false">image("http://localhost:8000/sprites/passimian.png", 4)</f>
        <v>0</v>
      </c>
      <c r="E204" s="0" t="n">
        <f aca="false">image("http://localhost:8000/sprites/wimpod.png", 4)</f>
        <v>0</v>
      </c>
      <c r="F204" s="0" t="n">
        <f aca="false">image("http://localhost:8000/sprites/golisopod.png", 4)</f>
        <v>0</v>
      </c>
    </row>
    <row r="205" customFormat="false" ht="15" hidden="false" customHeight="false" outlineLevel="0" collapsed="false">
      <c r="A205" s="0" t="n">
        <f aca="false">image("http://localhost:8000/sprites/sandygast.png", 4)</f>
        <v>0</v>
      </c>
      <c r="B205" s="0" t="n">
        <f aca="false">image("http://localhost:8000/sprites/palossand.png", 4)</f>
        <v>0</v>
      </c>
      <c r="C205" s="0" t="n">
        <f aca="false">image("http://localhost:8000/sprites/pyukumuku.png", 4)</f>
        <v>0</v>
      </c>
      <c r="D205" s="0" t="s">
        <v>51</v>
      </c>
      <c r="E205" s="0" t="n">
        <f aca="false">image("http://localhost:8000/sprites/silvally.png", 4)</f>
        <v>0</v>
      </c>
      <c r="F205" s="0" t="n">
        <f aca="false">image("http://localhost:8000/sprites/minior-red.png", 4)</f>
        <v>0</v>
      </c>
    </row>
    <row r="206" customFormat="false" ht="15" hidden="false" customHeight="false" outlineLevel="0" collapsed="false">
      <c r="A206" s="0" t="n">
        <f aca="false">image("http://localhost:8000/sprites/komala.png", 4)</f>
        <v>0</v>
      </c>
      <c r="B206" s="0" t="n">
        <f aca="false">image("http://localhost:8000/sprites/turtonator.png", 4)</f>
        <v>0</v>
      </c>
      <c r="C206" s="0" t="n">
        <f aca="false">image("http://localhost:8000/sprites/togedemaru.png", 4)</f>
        <v>0</v>
      </c>
      <c r="D206" s="0" t="s">
        <v>52</v>
      </c>
      <c r="E206" s="0" t="n">
        <f aca="false">image("http://localhost:8000/sprites/bruxish.png", 4)</f>
        <v>0</v>
      </c>
      <c r="F206" s="0" t="n">
        <f aca="false">image("http://localhost:8000/sprites/drampa.png", 4)</f>
        <v>0</v>
      </c>
    </row>
    <row r="209" customFormat="false" ht="15" hidden="false" customHeight="false" outlineLevel="0" collapsed="false">
      <c r="A209" s="1" t="s">
        <v>53</v>
      </c>
      <c r="B209" s="1"/>
      <c r="C209" s="1"/>
      <c r="D209" s="1"/>
      <c r="E209" s="1"/>
      <c r="F209" s="1"/>
    </row>
    <row r="210" customFormat="false" ht="15" hidden="false" customHeight="false" outlineLevel="0" collapsed="false">
      <c r="A210" s="0" t="n">
        <f aca="false">image("http://localhost:8000/sprites/dhelmise.png", 4)</f>
        <v>0</v>
      </c>
      <c r="B210" s="0" t="s">
        <v>54</v>
      </c>
      <c r="C210" s="0" t="s">
        <v>55</v>
      </c>
      <c r="D210" s="0" t="s">
        <v>56</v>
      </c>
      <c r="E210" s="0" t="s">
        <v>57</v>
      </c>
      <c r="F210" s="0" t="s">
        <v>58</v>
      </c>
    </row>
    <row r="211" customFormat="false" ht="15" hidden="false" customHeight="false" outlineLevel="0" collapsed="false">
      <c r="A211" s="0" t="s">
        <v>59</v>
      </c>
      <c r="B211" s="0" t="s">
        <v>60</v>
      </c>
      <c r="C211" s="0" t="n">
        <f aca="false">image("http://localhost:8000/sprites/cosmog.png", 4)</f>
        <v>0</v>
      </c>
      <c r="D211" s="0" t="n">
        <f aca="false">image("http://localhost:8000/sprites/cosmoem.png", 4)</f>
        <v>0</v>
      </c>
      <c r="E211" s="0" t="n">
        <f aca="false">image("http://localhost:8000/sprites/solgaleo.png", 4)</f>
        <v>0</v>
      </c>
      <c r="F211" s="0" t="n">
        <f aca="false">image("http://localhost:8000/sprites/lunala.png", 4)</f>
        <v>0</v>
      </c>
    </row>
    <row r="212" customFormat="false" ht="15" hidden="false" customHeight="false" outlineLevel="0" collapsed="false">
      <c r="A212" s="0" t="n">
        <f aca="false">image("http://localhost:8000/sprites/nihilego.png", 4)</f>
        <v>0</v>
      </c>
      <c r="B212" s="0" t="n">
        <f aca="false">image("http://localhost:8000/sprites/buzzwole.png", 4)</f>
        <v>0</v>
      </c>
      <c r="C212" s="0" t="n">
        <f aca="false">image("http://localhost:8000/sprites/pheromosa.png", 4)</f>
        <v>0</v>
      </c>
      <c r="D212" s="0" t="n">
        <f aca="false">image("http://localhost:8000/sprites/xurkitree.png", 4)</f>
        <v>0</v>
      </c>
      <c r="E212" s="0" t="n">
        <f aca="false">image("http://localhost:8000/sprites/celesteela.png", 4)</f>
        <v>0</v>
      </c>
      <c r="F212" s="0" t="n">
        <f aca="false">image("http://localhost:8000/sprites/kartana.png", 4)</f>
        <v>0</v>
      </c>
    </row>
    <row r="213" customFormat="false" ht="15" hidden="false" customHeight="false" outlineLevel="0" collapsed="false">
      <c r="A213" s="0" t="n">
        <f aca="false">image("http://localhost:8000/sprites/guzzlord.png", 4)</f>
        <v>0</v>
      </c>
      <c r="B213" s="0" t="n">
        <f aca="false">image("http://localhost:8000/sprites/necrozma.png", 4)</f>
        <v>0</v>
      </c>
      <c r="C213" s="0" t="n">
        <f aca="false">image("http://localhost:8000/sprites/magearna.png", 4)</f>
        <v>0</v>
      </c>
      <c r="D213" s="0" t="n">
        <f aca="false">image("http://localhost:8000/sprites/marshadow.png", 4)</f>
        <v>0</v>
      </c>
      <c r="E213" s="0" t="n">
        <f aca="false">image("http://localhost:8000/sprites/poipole.png", 4)</f>
        <v>0</v>
      </c>
      <c r="F213" s="0" t="n">
        <f aca="false">image("http://localhost:8000/sprites/naganadel.png", 4)</f>
        <v>0</v>
      </c>
    </row>
    <row r="214" customFormat="false" ht="15" hidden="false" customHeight="false" outlineLevel="0" collapsed="false">
      <c r="A214" s="0" t="n">
        <f aca="false">image("http://localhost:8000/sprites/stakataka.png", 4)</f>
        <v>0</v>
      </c>
      <c r="B214" s="0" t="n">
        <f aca="false">image("http://localhost:8000/sprites/blacephalon.png", 4)</f>
        <v>0</v>
      </c>
      <c r="C214" s="0" t="n">
        <f aca="false">image("http://localhost:8000/sprites/zeraora.png", 4)</f>
        <v>0</v>
      </c>
      <c r="D214" s="0" t="n">
        <f aca="false">image("http://localhost:8000/sprites/meltan.png", 4)</f>
        <v>0</v>
      </c>
      <c r="E214" s="0" t="n">
        <f aca="false">image("http://localhost:8000/sprites/melmetal.png", 4)</f>
        <v>0</v>
      </c>
      <c r="F214" s="0" t="n">
        <f aca="false">image("http://localhost:8000/sprites/grookey.png", 4)</f>
        <v>0</v>
      </c>
    </row>
    <row r="217" customFormat="false" ht="15" hidden="false" customHeight="false" outlineLevel="0" collapsed="false">
      <c r="A217" s="1" t="s">
        <v>61</v>
      </c>
      <c r="B217" s="1"/>
      <c r="C217" s="1"/>
      <c r="D217" s="1"/>
      <c r="E217" s="1"/>
      <c r="F217" s="1"/>
    </row>
    <row r="218" customFormat="false" ht="15" hidden="false" customHeight="false" outlineLevel="0" collapsed="false">
      <c r="A218" s="0" t="n">
        <f aca="false">image("http://localhost:8000/sprites/thwackey.png", 4)</f>
        <v>0</v>
      </c>
      <c r="B218" s="0" t="n">
        <f aca="false">image("http://localhost:8000/sprites/rillaboom.png", 4)</f>
        <v>0</v>
      </c>
      <c r="C218" s="0" t="n">
        <f aca="false">image("http://localhost:8000/sprites/scorbunny.png", 4)</f>
        <v>0</v>
      </c>
      <c r="D218" s="0" t="n">
        <f aca="false">image("http://localhost:8000/sprites/raboot.png", 4)</f>
        <v>0</v>
      </c>
      <c r="E218" s="0" t="n">
        <f aca="false">image("http://localhost:8000/sprites/cinderace.png", 4)</f>
        <v>0</v>
      </c>
      <c r="F218" s="0" t="n">
        <f aca="false">image("http://localhost:8000/sprites/sobble.png", 4)</f>
        <v>0</v>
      </c>
    </row>
    <row r="219" customFormat="false" ht="15" hidden="false" customHeight="false" outlineLevel="0" collapsed="false">
      <c r="A219" s="0" t="n">
        <f aca="false">image("http://localhost:8000/sprites/drizzile.png", 4)</f>
        <v>0</v>
      </c>
      <c r="B219" s="0" t="n">
        <f aca="false">image("http://localhost:8000/sprites/inteleon.png", 4)</f>
        <v>0</v>
      </c>
      <c r="C219" s="0" t="n">
        <f aca="false">image("http://localhost:8000/sprites/skwovet.png", 4)</f>
        <v>0</v>
      </c>
      <c r="D219" s="0" t="n">
        <f aca="false">image("http://localhost:8000/sprites/greedent.png", 4)</f>
        <v>0</v>
      </c>
      <c r="E219" s="0" t="n">
        <f aca="false">image("http://localhost:8000/sprites/rookidee.png", 4)</f>
        <v>0</v>
      </c>
      <c r="F219" s="0" t="n">
        <f aca="false">image("http://localhost:8000/sprites/corvisquire.png", 4)</f>
        <v>0</v>
      </c>
    </row>
    <row r="220" customFormat="false" ht="15" hidden="false" customHeight="false" outlineLevel="0" collapsed="false">
      <c r="A220" s="0" t="n">
        <f aca="false">image("http://localhost:8000/sprites/corviknight.png", 4)</f>
        <v>0</v>
      </c>
      <c r="B220" s="0" t="n">
        <f aca="false">image("http://localhost:8000/sprites/blipbug.png", 4)</f>
        <v>0</v>
      </c>
      <c r="C220" s="0" t="n">
        <f aca="false">image("http://localhost:8000/sprites/dottler.png", 4)</f>
        <v>0</v>
      </c>
      <c r="D220" s="0" t="n">
        <f aca="false">image("http://localhost:8000/sprites/orbeetle.png", 4)</f>
        <v>0</v>
      </c>
      <c r="E220" s="0" t="n">
        <f aca="false">image("http://localhost:8000/sprites/nickit.png", 4)</f>
        <v>0</v>
      </c>
      <c r="F220" s="0" t="n">
        <f aca="false">image("http://localhost:8000/sprites/thievul.png", 4)</f>
        <v>0</v>
      </c>
    </row>
    <row r="221" customFormat="false" ht="15" hidden="false" customHeight="false" outlineLevel="0" collapsed="false">
      <c r="A221" s="0" t="n">
        <f aca="false">image("http://localhost:8000/sprites/gossifleur.png", 4)</f>
        <v>0</v>
      </c>
      <c r="B221" s="0" t="n">
        <f aca="false">image("http://localhost:8000/sprites/eldegoss.png", 4)</f>
        <v>0</v>
      </c>
      <c r="C221" s="0" t="n">
        <f aca="false">image("http://localhost:8000/sprites/wooloo.png", 4)</f>
        <v>0</v>
      </c>
      <c r="D221" s="0" t="n">
        <f aca="false">image("http://localhost:8000/sprites/dubwool.png", 4)</f>
        <v>0</v>
      </c>
      <c r="E221" s="0" t="n">
        <f aca="false">image("http://localhost:8000/sprites/chewtle.png", 4)</f>
        <v>0</v>
      </c>
      <c r="F221" s="0" t="n">
        <f aca="false">image("http://localhost:8000/sprites/drednaw.png", 4)</f>
        <v>0</v>
      </c>
    </row>
    <row r="222" customFormat="false" ht="15" hidden="false" customHeight="false" outlineLevel="0" collapsed="false">
      <c r="A222" s="0" t="n">
        <f aca="false">image("http://localhost:8000/sprites/yamper.png", 4)</f>
        <v>0</v>
      </c>
      <c r="B222" s="0" t="n">
        <f aca="false">image("http://localhost:8000/sprites/boltund.png", 4)</f>
        <v>0</v>
      </c>
      <c r="C222" s="0" t="n">
        <f aca="false">image("http://localhost:8000/sprites/rolycoly.png", 4)</f>
        <v>0</v>
      </c>
      <c r="D222" s="0" t="n">
        <f aca="false">image("http://localhost:8000/sprites/carkol.png", 4)</f>
        <v>0</v>
      </c>
      <c r="E222" s="0" t="n">
        <f aca="false">image("http://localhost:8000/sprites/coalossal.png", 4)</f>
        <v>0</v>
      </c>
      <c r="F222" s="0" t="n">
        <f aca="false">image("http://localhost:8000/sprites/applin.png", 4)</f>
        <v>0</v>
      </c>
    </row>
    <row r="225" customFormat="false" ht="15" hidden="false" customHeight="false" outlineLevel="0" collapsed="false">
      <c r="A225" s="1" t="s">
        <v>62</v>
      </c>
      <c r="B225" s="1"/>
      <c r="C225" s="1"/>
      <c r="D225" s="1"/>
      <c r="E225" s="1"/>
      <c r="F225" s="1"/>
    </row>
    <row r="226" customFormat="false" ht="15" hidden="false" customHeight="false" outlineLevel="0" collapsed="false">
      <c r="A226" s="0" t="n">
        <f aca="false">image("http://localhost:8000/sprites/flapple.png", 4)</f>
        <v>0</v>
      </c>
      <c r="B226" s="0" t="n">
        <f aca="false">image("http://localhost:8000/sprites/appletun.png", 4)</f>
        <v>0</v>
      </c>
      <c r="C226" s="0" t="n">
        <f aca="false">image("http://localhost:8000/sprites/silicobra.png", 4)</f>
        <v>0</v>
      </c>
      <c r="D226" s="0" t="n">
        <f aca="false">image("http://localhost:8000/sprites/sandaconda.png", 4)</f>
        <v>0</v>
      </c>
      <c r="E226" s="0" t="n">
        <f aca="false">image("http://localhost:8000/sprites/cramorant.png", 4)</f>
        <v>0</v>
      </c>
      <c r="F226" s="0" t="n">
        <f aca="false">image("http://localhost:8000/sprites/arrokuda.png", 4)</f>
        <v>0</v>
      </c>
    </row>
    <row r="227" customFormat="false" ht="15" hidden="false" customHeight="false" outlineLevel="0" collapsed="false">
      <c r="A227" s="0" t="n">
        <f aca="false">image("http://localhost:8000/sprites/barraskewda.png", 4)</f>
        <v>0</v>
      </c>
      <c r="B227" s="0" t="n">
        <f aca="false">image("http://localhost:8000/sprites/toxel.png", 4)</f>
        <v>0</v>
      </c>
      <c r="C227" s="0" t="s">
        <v>63</v>
      </c>
      <c r="D227" s="0" t="n">
        <f aca="false">image("http://localhost:8000/sprites/sizzlipede.png", 4)</f>
        <v>0</v>
      </c>
      <c r="E227" s="0" t="n">
        <f aca="false">image("http://localhost:8000/sprites/centiskorch.png", 4)</f>
        <v>0</v>
      </c>
      <c r="F227" s="0" t="n">
        <f aca="false">image("http://localhost:8000/sprites/clobbopus.png", 4)</f>
        <v>0</v>
      </c>
    </row>
    <row r="228" customFormat="false" ht="15" hidden="false" customHeight="false" outlineLevel="0" collapsed="false">
      <c r="A228" s="0" t="n">
        <f aca="false">image("http://localhost:8000/sprites/grapploct.png", 4)</f>
        <v>0</v>
      </c>
      <c r="B228" s="0" t="n">
        <f aca="false">image("http://localhost:8000/sprites/sinistea.png", 4)</f>
        <v>0</v>
      </c>
      <c r="C228" s="0" t="n">
        <f aca="false">image("http://localhost:8000/sprites/polteageist.png", 4)</f>
        <v>0</v>
      </c>
      <c r="D228" s="0" t="n">
        <f aca="false">image("http://localhost:8000/sprites/hatenna.png", 4)</f>
        <v>0</v>
      </c>
      <c r="E228" s="0" t="n">
        <f aca="false">image("http://localhost:8000/sprites/hattrem.png", 4)</f>
        <v>0</v>
      </c>
      <c r="F228" s="0" t="n">
        <f aca="false">image("http://localhost:8000/sprites/hatterene.png", 4)</f>
        <v>0</v>
      </c>
    </row>
    <row r="229" customFormat="false" ht="15" hidden="false" customHeight="false" outlineLevel="0" collapsed="false">
      <c r="A229" s="0" t="n">
        <f aca="false">image("http://localhost:8000/sprites/impidimp.png", 4)</f>
        <v>0</v>
      </c>
      <c r="B229" s="0" t="n">
        <f aca="false">image("http://localhost:8000/sprites/morgrem.png", 4)</f>
        <v>0</v>
      </c>
      <c r="C229" s="0" t="n">
        <f aca="false">image("http://localhost:8000/sprites/grimmsnarl.png", 4)</f>
        <v>0</v>
      </c>
      <c r="D229" s="0" t="n">
        <f aca="false">image("http://localhost:8000/sprites/obstagoon.png", 4)</f>
        <v>0</v>
      </c>
      <c r="E229" s="0" t="n">
        <f aca="false">image("http://localhost:8000/sprites/perrserker.png", 4)</f>
        <v>0</v>
      </c>
      <c r="F229" s="0" t="n">
        <f aca="false">image("http://localhost:8000/sprites/cursola.png", 4)</f>
        <v>0</v>
      </c>
    </row>
    <row r="230" customFormat="false" ht="15" hidden="false" customHeight="false" outlineLevel="0" collapsed="false">
      <c r="A230" s="0" t="n">
        <f aca="false">image("http://localhost:8000/sprites/sirfetchd.png", 4)</f>
        <v>0</v>
      </c>
      <c r="B230" s="0" t="s">
        <v>64</v>
      </c>
      <c r="C230" s="0" t="n">
        <f aca="false">image("http://localhost:8000/sprites/runerigus.png", 4)</f>
        <v>0</v>
      </c>
      <c r="D230" s="0" t="n">
        <f aca="false">image("http://localhost:8000/sprites/milcery.png", 4)</f>
        <v>0</v>
      </c>
      <c r="E230" s="0" t="n">
        <f aca="false">image("http://localhost:8000/sprites/alcremie.png", 4)</f>
        <v>0</v>
      </c>
      <c r="F230" s="0" t="n">
        <f aca="false">image("http://localhost:8000/sprites/falinks.png", 4)</f>
        <v>0</v>
      </c>
    </row>
    <row r="233" customFormat="false" ht="15" hidden="false" customHeight="false" outlineLevel="0" collapsed="false">
      <c r="A233" s="1" t="s">
        <v>65</v>
      </c>
      <c r="B233" s="1"/>
      <c r="C233" s="1"/>
      <c r="D233" s="1"/>
      <c r="E233" s="1"/>
      <c r="F233" s="1"/>
    </row>
    <row r="234" customFormat="false" ht="15" hidden="false" customHeight="false" outlineLevel="0" collapsed="false">
      <c r="A234" s="0" t="n">
        <f aca="false">image("http://localhost:8000/sprites/pincurchin.png", 4)</f>
        <v>0</v>
      </c>
      <c r="B234" s="0" t="n">
        <f aca="false">image("http://localhost:8000/sprites/snom.png", 4)</f>
        <v>0</v>
      </c>
      <c r="C234" s="0" t="n">
        <f aca="false">image("http://localhost:8000/sprites/frosmoth.png", 4)</f>
        <v>0</v>
      </c>
      <c r="D234" s="0" t="n">
        <f aca="false">image("http://localhost:8000/sprites/stonjourner.png", 4)</f>
        <v>0</v>
      </c>
      <c r="E234" s="0" t="s">
        <v>66</v>
      </c>
      <c r="F234" s="0" t="s">
        <v>67</v>
      </c>
    </row>
    <row r="235" customFormat="false" ht="15" hidden="false" customHeight="false" outlineLevel="0" collapsed="false">
      <c r="A235" s="0" t="s">
        <v>68</v>
      </c>
      <c r="B235" s="0" t="n">
        <f aca="false">image("http://localhost:8000/sprites/cufant.png", 4)</f>
        <v>0</v>
      </c>
      <c r="C235" s="0" t="n">
        <f aca="false">image("http://localhost:8000/sprites/copperajah.png", 4)</f>
        <v>0</v>
      </c>
      <c r="D235" s="0" t="n">
        <f aca="false">image("http://localhost:8000/sprites/dracozolt.png", 4)</f>
        <v>0</v>
      </c>
      <c r="E235" s="0" t="n">
        <f aca="false">image("http://localhost:8000/sprites/arctozolt.png", 4)</f>
        <v>0</v>
      </c>
      <c r="F235" s="0" t="n">
        <f aca="false">image("http://localhost:8000/sprites/dracovish.png", 4)</f>
        <v>0</v>
      </c>
    </row>
    <row r="236" customFormat="false" ht="15" hidden="false" customHeight="false" outlineLevel="0" collapsed="false">
      <c r="A236" s="0" t="n">
        <f aca="false">image("http://localhost:8000/sprites/arctovish.png", 4)</f>
        <v>0</v>
      </c>
      <c r="B236" s="0" t="n">
        <f aca="false">image("http://localhost:8000/sprites/duraludon.png", 4)</f>
        <v>0</v>
      </c>
      <c r="C236" s="0" t="n">
        <f aca="false">image("http://localhost:8000/sprites/dreepy.png", 4)</f>
        <v>0</v>
      </c>
      <c r="D236" s="0" t="n">
        <f aca="false">image("http://localhost:8000/sprites/drakloak.png", 4)</f>
        <v>0</v>
      </c>
      <c r="E236" s="0" t="n">
        <f aca="false">image("http://localhost:8000/sprites/dragapult.png", 4)</f>
        <v>0</v>
      </c>
      <c r="F236" s="0" t="n">
        <f aca="false">image("http://localhost:8000/sprites/zacian.png", 4)</f>
        <v>0</v>
      </c>
    </row>
    <row r="237" customFormat="false" ht="15" hidden="false" customHeight="false" outlineLevel="0" collapsed="false">
      <c r="A237" s="0" t="n">
        <f aca="false">image("http://localhost:8000/sprites/zamazenta.png", 4)</f>
        <v>0</v>
      </c>
      <c r="B237" s="0" t="n">
        <f aca="false">image("http://localhost:8000/sprites/eternatus.png", 4)</f>
        <v>0</v>
      </c>
      <c r="C237" s="0" t="n">
        <f aca="false">image("http://localhost:8000/sprites/kubfu.png", 4)</f>
        <v>0</v>
      </c>
      <c r="D237" s="0" t="s">
        <v>69</v>
      </c>
      <c r="E237" s="0" t="n">
        <f aca="false">image("http://localhost:8000/sprites/zarude.png", 4)</f>
        <v>0</v>
      </c>
      <c r="F237" s="0" t="n">
        <f aca="false">image("http://localhost:8000/sprites/regieleki.png", 4)</f>
        <v>0</v>
      </c>
    </row>
    <row r="238" customFormat="false" ht="15" hidden="false" customHeight="false" outlineLevel="0" collapsed="false">
      <c r="A238" s="0" t="n">
        <f aca="false">image("http://localhost:8000/sprites/regidrago.png", 4)</f>
        <v>0</v>
      </c>
      <c r="B238" s="0" t="n">
        <f aca="false">image("http://localhost:8000/sprites/glastrier.png", 4)</f>
        <v>0</v>
      </c>
      <c r="C238" s="0" t="n">
        <f aca="false">image("http://localhost:8000/sprites/spectrier.png", 4)</f>
        <v>0</v>
      </c>
      <c r="D238" s="0" t="n">
        <f aca="false">image("http://localhost:8000/sprites/calyrex.png", 4)</f>
        <v>0</v>
      </c>
      <c r="E238" s="0" t="n">
        <f aca="false">image("http://localhost:8000/sprites/wyrdeer.png", 4)</f>
        <v>0</v>
      </c>
      <c r="F238" s="0" t="n">
        <f aca="false">image("http://localhost:8000/sprites/kleavor.png", 4)</f>
        <v>0</v>
      </c>
    </row>
    <row r="241" customFormat="false" ht="15" hidden="false" customHeight="false" outlineLevel="0" collapsed="false">
      <c r="A241" s="1" t="s">
        <v>70</v>
      </c>
      <c r="B241" s="1"/>
      <c r="C241" s="1"/>
      <c r="D241" s="1"/>
      <c r="E241" s="1"/>
      <c r="F241" s="1"/>
    </row>
    <row r="242" customFormat="false" ht="15" hidden="false" customHeight="false" outlineLevel="0" collapsed="false">
      <c r="A242" s="0" t="n">
        <f aca="false">image("http://localhost:8000/sprites/ursaluna.png", 4)</f>
        <v>0</v>
      </c>
      <c r="B242" s="0" t="s">
        <v>71</v>
      </c>
      <c r="C242" s="0" t="n">
        <f aca="false">image("http://localhost:8000/sprites/sneasler.png", 4)</f>
        <v>0</v>
      </c>
      <c r="D242" s="0" t="n">
        <f aca="false">image("http://localhost:8000/sprites/overqwil.png", 4)</f>
        <v>0</v>
      </c>
      <c r="E242" s="0" t="s">
        <v>72</v>
      </c>
    </row>
    <row r="244" customFormat="false" ht="15" hidden="false" customHeight="false" outlineLevel="0" collapsed="false">
      <c r="A244" s="1" t="s">
        <v>73</v>
      </c>
      <c r="B244" s="1"/>
      <c r="C244" s="1"/>
      <c r="D244" s="1"/>
      <c r="E244" s="1"/>
      <c r="F244" s="1"/>
    </row>
    <row r="245" customFormat="false" ht="15" hidden="false" customHeight="false" outlineLevel="0" collapsed="false">
      <c r="A245" s="0" t="s">
        <v>74</v>
      </c>
      <c r="B245" s="0" t="s">
        <v>75</v>
      </c>
      <c r="C245" s="0" t="s">
        <v>76</v>
      </c>
      <c r="D245" s="0" t="s">
        <v>77</v>
      </c>
      <c r="E245" s="0" t="s">
        <v>78</v>
      </c>
      <c r="F245" s="0" t="s">
        <v>79</v>
      </c>
    </row>
    <row r="246" customFormat="false" ht="15" hidden="false" customHeight="false" outlineLevel="0" collapsed="false">
      <c r="A246" s="0" t="s">
        <v>80</v>
      </c>
      <c r="B246" s="0" t="s">
        <v>81</v>
      </c>
      <c r="C246" s="0" t="s">
        <v>82</v>
      </c>
      <c r="D246" s="0" t="s">
        <v>83</v>
      </c>
      <c r="E246" s="0" t="s">
        <v>84</v>
      </c>
      <c r="F246" s="0" t="s">
        <v>85</v>
      </c>
    </row>
    <row r="247" customFormat="false" ht="15" hidden="false" customHeight="false" outlineLevel="0" collapsed="false">
      <c r="A247" s="0" t="s">
        <v>86</v>
      </c>
      <c r="B247" s="0" t="s">
        <v>87</v>
      </c>
      <c r="C247" s="0" t="s">
        <v>88</v>
      </c>
      <c r="D247" s="0" t="s">
        <v>89</v>
      </c>
      <c r="E247" s="0" t="s">
        <v>90</v>
      </c>
      <c r="F247" s="0" t="s">
        <v>91</v>
      </c>
    </row>
    <row r="248" customFormat="false" ht="15" hidden="false" customHeight="false" outlineLevel="0" collapsed="false">
      <c r="A248" s="0" t="s">
        <v>92</v>
      </c>
      <c r="B248" s="0" t="s">
        <v>93</v>
      </c>
      <c r="C248" s="0" t="s">
        <v>94</v>
      </c>
      <c r="D248" s="0" t="s">
        <v>95</v>
      </c>
      <c r="E248" s="0" t="s">
        <v>96</v>
      </c>
      <c r="F248" s="0" t="s">
        <v>97</v>
      </c>
    </row>
    <row r="249" customFormat="false" ht="15" hidden="false" customHeight="false" outlineLevel="0" collapsed="false">
      <c r="A249" s="0" t="s">
        <v>98</v>
      </c>
      <c r="B249" s="0" t="s">
        <v>99</v>
      </c>
      <c r="C249" s="0" t="s">
        <v>100</v>
      </c>
      <c r="D249" s="0" t="s">
        <v>101</v>
      </c>
      <c r="E249" s="0" t="s">
        <v>102</v>
      </c>
      <c r="F249" s="0" t="s">
        <v>103</v>
      </c>
    </row>
    <row r="252" customFormat="false" ht="15" hidden="false" customHeight="false" outlineLevel="0" collapsed="false">
      <c r="A252" s="1" t="s">
        <v>104</v>
      </c>
      <c r="B252" s="1"/>
      <c r="C252" s="1"/>
      <c r="D252" s="1"/>
      <c r="E252" s="1"/>
      <c r="F252" s="1"/>
    </row>
    <row r="253" customFormat="false" ht="15" hidden="false" customHeight="false" outlineLevel="0" collapsed="false">
      <c r="A253" s="0" t="s">
        <v>105</v>
      </c>
      <c r="B253" s="0" t="s">
        <v>106</v>
      </c>
      <c r="C253" s="0" t="s">
        <v>107</v>
      </c>
      <c r="D253" s="0" t="s">
        <v>108</v>
      </c>
      <c r="E253" s="0" t="s">
        <v>109</v>
      </c>
      <c r="F253" s="0" t="s">
        <v>110</v>
      </c>
    </row>
    <row r="254" customFormat="false" ht="15" hidden="false" customHeight="false" outlineLevel="0" collapsed="false">
      <c r="A254" s="0" t="s">
        <v>111</v>
      </c>
      <c r="B254" s="0" t="s">
        <v>112</v>
      </c>
      <c r="C254" s="0" t="s">
        <v>113</v>
      </c>
      <c r="D254" s="0" t="s">
        <v>114</v>
      </c>
      <c r="E254" s="0" t="s">
        <v>115</v>
      </c>
      <c r="F254" s="0" t="s">
        <v>116</v>
      </c>
    </row>
    <row r="255" customFormat="false" ht="15" hidden="false" customHeight="false" outlineLevel="0" collapsed="false">
      <c r="A255" s="0" t="s">
        <v>117</v>
      </c>
      <c r="B255" s="0" t="s">
        <v>118</v>
      </c>
      <c r="C255" s="0" t="s">
        <v>119</v>
      </c>
      <c r="D255" s="0" t="s">
        <v>120</v>
      </c>
      <c r="E255" s="0" t="s">
        <v>121</v>
      </c>
      <c r="F255" s="0" t="s">
        <v>122</v>
      </c>
    </row>
    <row r="256" customFormat="false" ht="15" hidden="false" customHeight="false" outlineLevel="0" collapsed="false">
      <c r="A256" s="0" t="s">
        <v>123</v>
      </c>
      <c r="B256" s="0" t="s">
        <v>124</v>
      </c>
      <c r="C256" s="0" t="s">
        <v>125</v>
      </c>
      <c r="D256" s="0" t="s">
        <v>126</v>
      </c>
      <c r="E256" s="0" t="s">
        <v>127</v>
      </c>
      <c r="F256" s="0" t="s">
        <v>128</v>
      </c>
    </row>
    <row r="257" customFormat="false" ht="15" hidden="false" customHeight="false" outlineLevel="0" collapsed="false">
      <c r="A257" s="0" t="s">
        <v>129</v>
      </c>
      <c r="B257" s="0" t="s">
        <v>130</v>
      </c>
      <c r="C257" s="0" t="s">
        <v>131</v>
      </c>
      <c r="D257" s="0" t="s">
        <v>132</v>
      </c>
      <c r="E257" s="0" t="s">
        <v>133</v>
      </c>
      <c r="F257" s="0" t="s">
        <v>134</v>
      </c>
    </row>
    <row r="260" customFormat="false" ht="15" hidden="false" customHeight="false" outlineLevel="0" collapsed="false">
      <c r="A260" s="1" t="s">
        <v>135</v>
      </c>
      <c r="B260" s="1"/>
      <c r="C260" s="1"/>
      <c r="D260" s="1"/>
      <c r="E260" s="1"/>
      <c r="F260" s="1"/>
    </row>
    <row r="261" customFormat="false" ht="15" hidden="false" customHeight="false" outlineLevel="0" collapsed="false">
      <c r="A261" s="0" t="s">
        <v>136</v>
      </c>
      <c r="B261" s="0" t="s">
        <v>137</v>
      </c>
      <c r="C261" s="0" t="s">
        <v>138</v>
      </c>
      <c r="D261" s="0" t="s">
        <v>139</v>
      </c>
      <c r="E261" s="0" t="s">
        <v>140</v>
      </c>
      <c r="F261" s="0" t="s">
        <v>141</v>
      </c>
    </row>
    <row r="262" customFormat="false" ht="15" hidden="false" customHeight="false" outlineLevel="0" collapsed="false">
      <c r="A262" s="0" t="s">
        <v>142</v>
      </c>
      <c r="B262" s="0" t="s">
        <v>143</v>
      </c>
      <c r="C262" s="0" t="s">
        <v>144</v>
      </c>
      <c r="D262" s="0" t="s">
        <v>145</v>
      </c>
      <c r="E262" s="0" t="s">
        <v>146</v>
      </c>
      <c r="F262" s="0" t="s">
        <v>147</v>
      </c>
    </row>
    <row r="263" customFormat="false" ht="15" hidden="false" customHeight="false" outlineLevel="0" collapsed="false">
      <c r="A263" s="0" t="s">
        <v>148</v>
      </c>
      <c r="B263" s="0" t="s">
        <v>149</v>
      </c>
      <c r="C263" s="0" t="s">
        <v>150</v>
      </c>
      <c r="D263" s="0" t="s">
        <v>151</v>
      </c>
      <c r="E263" s="0" t="s">
        <v>152</v>
      </c>
      <c r="F263" s="0" t="s">
        <v>153</v>
      </c>
    </row>
    <row r="264" customFormat="false" ht="15" hidden="false" customHeight="false" outlineLevel="0" collapsed="false">
      <c r="A264" s="0" t="s">
        <v>154</v>
      </c>
      <c r="B264" s="0" t="s">
        <v>155</v>
      </c>
      <c r="C264" s="0" t="s">
        <v>156</v>
      </c>
      <c r="D264" s="0" t="s">
        <v>157</v>
      </c>
      <c r="E264" s="0" t="s">
        <v>158</v>
      </c>
      <c r="F264" s="0" t="s">
        <v>159</v>
      </c>
    </row>
    <row r="265" customFormat="false" ht="15" hidden="false" customHeight="false" outlineLevel="0" collapsed="false">
      <c r="A265" s="0" t="s">
        <v>160</v>
      </c>
      <c r="B265" s="0" t="s">
        <v>161</v>
      </c>
      <c r="C265" s="0" t="s">
        <v>162</v>
      </c>
      <c r="D265" s="0" t="s">
        <v>163</v>
      </c>
      <c r="E265" s="0" t="s">
        <v>164</v>
      </c>
      <c r="F265" s="0" t="s">
        <v>165</v>
      </c>
    </row>
    <row r="268" customFormat="false" ht="15" hidden="false" customHeight="false" outlineLevel="0" collapsed="false">
      <c r="A268" s="1" t="s">
        <v>166</v>
      </c>
      <c r="B268" s="1"/>
      <c r="C268" s="1"/>
      <c r="D268" s="1"/>
      <c r="E268" s="1"/>
      <c r="F268" s="1"/>
    </row>
    <row r="269" customFormat="false" ht="15" hidden="false" customHeight="false" outlineLevel="0" collapsed="false">
      <c r="A269" s="0" t="s">
        <v>167</v>
      </c>
      <c r="B269" s="0" t="s">
        <v>168</v>
      </c>
      <c r="C269" s="0" t="s">
        <v>169</v>
      </c>
      <c r="D269" s="0" t="s">
        <v>170</v>
      </c>
      <c r="E269" s="0" t="s">
        <v>171</v>
      </c>
      <c r="F269" s="0" t="s">
        <v>172</v>
      </c>
    </row>
    <row r="270" customFormat="false" ht="15" hidden="false" customHeight="false" outlineLevel="0" collapsed="false">
      <c r="A270" s="0" t="s">
        <v>173</v>
      </c>
      <c r="B270" s="0" t="s">
        <v>174</v>
      </c>
      <c r="C270" s="0" t="s">
        <v>175</v>
      </c>
      <c r="D270" s="0" t="s">
        <v>176</v>
      </c>
      <c r="E270" s="0" t="s">
        <v>177</v>
      </c>
      <c r="F270" s="0" t="s">
        <v>178</v>
      </c>
    </row>
    <row r="273" customFormat="false" ht="15" hidden="false" customHeight="false" outlineLevel="0" collapsed="false">
      <c r="A273" s="1" t="s">
        <v>179</v>
      </c>
      <c r="B273" s="1"/>
      <c r="C273" s="1"/>
      <c r="D273" s="1"/>
      <c r="E273" s="1"/>
      <c r="F273" s="1"/>
    </row>
    <row r="274" customFormat="false" ht="15" hidden="false" customHeight="false" outlineLevel="0" collapsed="false">
      <c r="A274" s="0" t="s">
        <v>78</v>
      </c>
      <c r="B274" s="0" t="s">
        <v>180</v>
      </c>
      <c r="C274" s="0" t="s">
        <v>181</v>
      </c>
      <c r="D274" s="0" t="s">
        <v>182</v>
      </c>
      <c r="E274" s="0" t="s">
        <v>183</v>
      </c>
      <c r="F274" s="0" t="s">
        <v>184</v>
      </c>
    </row>
    <row r="275" customFormat="false" ht="15" hidden="false" customHeight="false" outlineLevel="0" collapsed="false">
      <c r="A275" s="0" t="s">
        <v>185</v>
      </c>
      <c r="B275" s="0" t="s">
        <v>186</v>
      </c>
      <c r="C275" s="0" t="s">
        <v>187</v>
      </c>
    </row>
    <row r="277" customFormat="false" ht="15" hidden="false" customHeight="false" outlineLevel="0" collapsed="false">
      <c r="A277" s="1" t="s">
        <v>188</v>
      </c>
      <c r="B277" s="1"/>
      <c r="C277" s="1"/>
      <c r="D277" s="1"/>
      <c r="E277" s="1"/>
      <c r="F277" s="1"/>
    </row>
    <row r="278" customFormat="false" ht="15" hidden="false" customHeight="false" outlineLevel="0" collapsed="false">
      <c r="A278" s="0" t="n">
        <f aca="false">image("http://localhost:8000/sprites/unown.png", 4)</f>
        <v>0</v>
      </c>
      <c r="B278" s="0" t="s">
        <v>189</v>
      </c>
      <c r="C278" s="0" t="s">
        <v>190</v>
      </c>
      <c r="D278" s="0" t="s">
        <v>191</v>
      </c>
      <c r="E278" s="0" t="s">
        <v>192</v>
      </c>
      <c r="F278" s="0" t="s">
        <v>193</v>
      </c>
    </row>
    <row r="279" customFormat="false" ht="15" hidden="false" customHeight="false" outlineLevel="0" collapsed="false">
      <c r="A279" s="0" t="s">
        <v>194</v>
      </c>
      <c r="B279" s="0" t="s">
        <v>195</v>
      </c>
      <c r="C279" s="0" t="s">
        <v>196</v>
      </c>
      <c r="D279" s="0" t="s">
        <v>197</v>
      </c>
      <c r="E279" s="0" t="s">
        <v>198</v>
      </c>
      <c r="F279" s="0" t="s">
        <v>199</v>
      </c>
    </row>
    <row r="280" customFormat="false" ht="15" hidden="false" customHeight="false" outlineLevel="0" collapsed="false">
      <c r="A280" s="0" t="s">
        <v>200</v>
      </c>
      <c r="B280" s="0" t="s">
        <v>201</v>
      </c>
      <c r="C280" s="0" t="s">
        <v>202</v>
      </c>
      <c r="D280" s="0" t="s">
        <v>203</v>
      </c>
      <c r="E280" s="0" t="s">
        <v>204</v>
      </c>
      <c r="F280" s="0" t="s">
        <v>205</v>
      </c>
    </row>
    <row r="281" customFormat="false" ht="15" hidden="false" customHeight="false" outlineLevel="0" collapsed="false">
      <c r="A281" s="0" t="s">
        <v>206</v>
      </c>
      <c r="B281" s="0" t="s">
        <v>207</v>
      </c>
      <c r="C281" s="0" t="s">
        <v>208</v>
      </c>
      <c r="D281" s="0" t="s">
        <v>209</v>
      </c>
      <c r="E281" s="0" t="s">
        <v>210</v>
      </c>
      <c r="F281" s="0" t="s">
        <v>211</v>
      </c>
    </row>
    <row r="282" customFormat="false" ht="15" hidden="false" customHeight="false" outlineLevel="0" collapsed="false">
      <c r="A282" s="0" t="s">
        <v>212</v>
      </c>
      <c r="B282" s="0" t="s">
        <v>213</v>
      </c>
      <c r="C282" s="0" t="s">
        <v>214</v>
      </c>
      <c r="D282" s="0" t="s">
        <v>215</v>
      </c>
    </row>
    <row r="284" customFormat="false" ht="15" hidden="false" customHeight="false" outlineLevel="0" collapsed="false">
      <c r="A284" s="1" t="s">
        <v>216</v>
      </c>
      <c r="B284" s="1"/>
      <c r="C284" s="1"/>
      <c r="D284" s="1"/>
      <c r="E284" s="1"/>
      <c r="F284" s="1"/>
    </row>
    <row r="285" customFormat="false" ht="15" hidden="false" customHeight="false" outlineLevel="0" collapsed="false">
      <c r="A285" s="0" t="s">
        <v>17</v>
      </c>
      <c r="B285" s="0" t="n">
        <f aca="false">image("http://localhost:8000/sprites/deoxys-attack.png", 4)</f>
        <v>0</v>
      </c>
      <c r="C285" s="0" t="n">
        <f aca="false">image("http://localhost:8000/sprites/deoxys-defense.png", 4)</f>
        <v>0</v>
      </c>
      <c r="D285" s="0" t="n">
        <f aca="false">image("http://localhost:8000/sprites/deoxys-speed.png", 4)</f>
        <v>0</v>
      </c>
    </row>
    <row r="286" customFormat="false" ht="15" hidden="false" customHeight="false" outlineLevel="0" collapsed="false">
      <c r="A286" s="0" t="n">
        <f aca="false">image("http://localhost:8000/sprites/burmy.png", 4)</f>
        <v>0</v>
      </c>
      <c r="B286" s="0" t="s">
        <v>217</v>
      </c>
      <c r="C286" s="0" t="s">
        <v>218</v>
      </c>
      <c r="D286" s="0" t="n">
        <f aca="false">image("http://localhost:8000/sprites/shellos.png", 4)</f>
        <v>0</v>
      </c>
      <c r="E286" s="0" t="n">
        <f aca="false">image("http://localhost:8000/sprites/gastrodon.png", 4)</f>
        <v>0</v>
      </c>
    </row>
    <row r="287" customFormat="false" ht="15" hidden="false" customHeight="false" outlineLevel="0" collapsed="false">
      <c r="A287" s="0" t="s">
        <v>19</v>
      </c>
      <c r="B287" s="0" t="n">
        <f aca="false">image("http://localhost:8000/sprites/wormadam-sandy.png", 4)</f>
        <v>0</v>
      </c>
      <c r="C287" s="0" t="n">
        <f aca="false">image("http://localhost:8000/sprites/wormadam-trash.png", 4)</f>
        <v>0</v>
      </c>
      <c r="D287" s="0" t="s">
        <v>219</v>
      </c>
      <c r="E287" s="0" t="s">
        <v>220</v>
      </c>
    </row>
    <row r="288" customFormat="false" ht="15" hidden="false" customHeight="false" outlineLevel="0" collapsed="false">
      <c r="A288" s="0" t="n">
        <f aca="false">image("http://localhost:8000/sprites/rotom.png", 4)</f>
        <v>0</v>
      </c>
      <c r="B288" s="0" t="n">
        <f aca="false">image("http://localhost:8000/sprites/rotom-heat.png", 4)</f>
        <v>0</v>
      </c>
      <c r="C288" s="0" t="n">
        <f aca="false">image("http://localhost:8000/sprites/rotom-wash.png", 4)</f>
        <v>0</v>
      </c>
      <c r="D288" s="0" t="n">
        <f aca="false">image("http://localhost:8000/sprites/rotom-frost.png", 4)</f>
        <v>0</v>
      </c>
      <c r="E288" s="0" t="n">
        <f aca="false">image("http://localhost:8000/sprites/rotom-fan.png", 4)</f>
        <v>0</v>
      </c>
      <c r="F288" s="0" t="n">
        <f aca="false">image("http://localhost:8000/sprites/rotom-mow.png", 4)</f>
        <v>0</v>
      </c>
    </row>
    <row r="289" customFormat="false" ht="15" hidden="false" customHeight="false" outlineLevel="0" collapsed="false">
      <c r="A289" s="0" t="s">
        <v>26</v>
      </c>
      <c r="B289" s="0" t="n">
        <f aca="false">image("http://localhost:8000/sprites/shaymin-sky.png", 4)</f>
        <v>0</v>
      </c>
    </row>
    <row r="291" customFormat="false" ht="15" hidden="false" customHeight="false" outlineLevel="0" collapsed="false">
      <c r="A291" s="1" t="s">
        <v>221</v>
      </c>
      <c r="B291" s="1"/>
      <c r="C291" s="1"/>
      <c r="D291" s="1"/>
      <c r="E291" s="1"/>
      <c r="F291" s="1"/>
    </row>
    <row r="292" customFormat="false" ht="15" hidden="false" customHeight="false" outlineLevel="0" collapsed="false">
      <c r="A292" s="0" t="n">
        <f aca="false">image("http://localhost:8000/sprites/deerling.png", 4)</f>
        <v>0</v>
      </c>
      <c r="B292" s="0" t="s">
        <v>222</v>
      </c>
      <c r="C292" s="0" t="s">
        <v>223</v>
      </c>
      <c r="D292" s="0" t="s">
        <v>224</v>
      </c>
    </row>
    <row r="293" customFormat="false" ht="15" hidden="false" customHeight="false" outlineLevel="0" collapsed="false">
      <c r="A293" s="0" t="n">
        <f aca="false">image("http://localhost:8000/sprites/sawsbuck.png", 4)</f>
        <v>0</v>
      </c>
      <c r="B293" s="0" t="s">
        <v>225</v>
      </c>
      <c r="C293" s="0" t="s">
        <v>226</v>
      </c>
      <c r="D293" s="0" t="s">
        <v>227</v>
      </c>
    </row>
    <row r="294" customFormat="false" ht="15" hidden="false" customHeight="false" outlineLevel="0" collapsed="false">
      <c r="A294" s="0" t="s">
        <v>29</v>
      </c>
      <c r="B294" s="0" t="n">
        <f aca="false">image("http://localhost:8000/sprites/basculin-blue-striped.png", 4)</f>
        <v>0</v>
      </c>
    </row>
    <row r="295" customFormat="false" ht="15" hidden="false" customHeight="false" outlineLevel="0" collapsed="false">
      <c r="A295" s="0" t="s">
        <v>34</v>
      </c>
      <c r="B295" s="0" t="n">
        <f aca="false">image("http://localhost:8000/sprites/tornadus-therian.png", 4)</f>
        <v>0</v>
      </c>
      <c r="C295" s="0" t="s">
        <v>35</v>
      </c>
      <c r="D295" s="0" t="n">
        <f aca="false">image("http://localhost:8000/sprites/thundurus-therian.png", 4)</f>
        <v>0</v>
      </c>
      <c r="E295" s="0" t="s">
        <v>36</v>
      </c>
      <c r="F295" s="0" t="n">
        <f aca="false">image("http://localhost:8000/sprites/landorus-therian.png", 4)</f>
        <v>0</v>
      </c>
    </row>
    <row r="296" customFormat="false" ht="15" hidden="false" customHeight="false" outlineLevel="0" collapsed="false">
      <c r="A296" s="0" t="s">
        <v>37</v>
      </c>
      <c r="B296" s="0" t="n">
        <f aca="false">image("http://localhost:8000/sprites/keldeo-resolute.png", 4)</f>
        <v>0</v>
      </c>
    </row>
    <row r="298" customFormat="false" ht="15" hidden="false" customHeight="false" outlineLevel="0" collapsed="false">
      <c r="A298" s="1" t="s">
        <v>228</v>
      </c>
      <c r="B298" s="1"/>
      <c r="C298" s="1"/>
      <c r="D298" s="1"/>
      <c r="E298" s="1"/>
      <c r="F298" s="1"/>
    </row>
    <row r="299" customFormat="false" ht="15" hidden="false" customHeight="false" outlineLevel="0" collapsed="false">
      <c r="A299" s="0" t="s">
        <v>43</v>
      </c>
      <c r="B299" s="0" t="n">
        <f aca="false">image("http://localhost:8000/sprites/pumpkaboo-small.png", 4)</f>
        <v>0</v>
      </c>
      <c r="C299" s="0" t="n">
        <f aca="false">image("http://localhost:8000/sprites/pumpkaboo-large.png", 4)</f>
        <v>0</v>
      </c>
      <c r="D299" s="0" t="n">
        <f aca="false">image("http://localhost:8000/sprites/pumpkaboo-super.png", 4)</f>
        <v>0</v>
      </c>
    </row>
    <row r="300" customFormat="false" ht="15" hidden="false" customHeight="false" outlineLevel="0" collapsed="false">
      <c r="A300" s="0" t="s">
        <v>44</v>
      </c>
      <c r="B300" s="0" t="n">
        <f aca="false">image("http://localhost:8000/sprites/gourgeist-small.png", 4)</f>
        <v>0</v>
      </c>
      <c r="C300" s="0" t="n">
        <f aca="false">image("http://localhost:8000/sprites/gourgeist-large.png", 4)</f>
        <v>0</v>
      </c>
      <c r="D300" s="0" t="n">
        <f aca="false">image("http://localhost:8000/sprites/gourgeist-super.png", 4)</f>
        <v>0</v>
      </c>
    </row>
    <row r="301" customFormat="false" ht="15" hidden="false" customHeight="false" outlineLevel="0" collapsed="false">
      <c r="A301" s="0" t="n">
        <f aca="false">image("http://localhost:8000/sprites/furfrou.png", 4)</f>
        <v>0</v>
      </c>
      <c r="B301" s="0" t="s">
        <v>229</v>
      </c>
      <c r="C301" s="0" t="s">
        <v>230</v>
      </c>
      <c r="D301" s="0" t="s">
        <v>231</v>
      </c>
      <c r="E301" s="0" t="s">
        <v>232</v>
      </c>
    </row>
    <row r="302" customFormat="false" ht="15" hidden="false" customHeight="false" outlineLevel="0" collapsed="false">
      <c r="A302" s="0" t="s">
        <v>233</v>
      </c>
      <c r="B302" s="0" t="s">
        <v>234</v>
      </c>
      <c r="C302" s="0" t="s">
        <v>235</v>
      </c>
      <c r="D302" s="0" t="s">
        <v>236</v>
      </c>
      <c r="E302" s="0" t="s">
        <v>237</v>
      </c>
    </row>
    <row r="304" customFormat="false" ht="15" hidden="false" customHeight="false" outlineLevel="0" collapsed="false">
      <c r="A304" s="1" t="s">
        <v>238</v>
      </c>
      <c r="B304" s="1"/>
      <c r="C304" s="1"/>
      <c r="D304" s="1"/>
      <c r="E304" s="1"/>
      <c r="F304" s="1"/>
    </row>
    <row r="305" customFormat="false" ht="15" hidden="false" customHeight="false" outlineLevel="0" collapsed="false">
      <c r="A305" s="0" t="n">
        <f aca="false">image("http://localhost:8000/sprites/flabebe.png", 4)</f>
        <v>0</v>
      </c>
      <c r="B305" s="0" t="s">
        <v>239</v>
      </c>
      <c r="C305" s="0" t="s">
        <v>240</v>
      </c>
      <c r="D305" s="0" t="s">
        <v>241</v>
      </c>
      <c r="E305" s="0" t="s">
        <v>242</v>
      </c>
    </row>
    <row r="306" customFormat="false" ht="15" hidden="false" customHeight="false" outlineLevel="0" collapsed="false">
      <c r="A306" s="0" t="n">
        <f aca="false">image("http://localhost:8000/sprites/floette.png", 4)</f>
        <v>0</v>
      </c>
      <c r="B306" s="0" t="s">
        <v>243</v>
      </c>
      <c r="C306" s="0" t="s">
        <v>244</v>
      </c>
      <c r="D306" s="0" t="s">
        <v>245</v>
      </c>
      <c r="E306" s="0" t="s">
        <v>246</v>
      </c>
    </row>
    <row r="307" customFormat="false" ht="15" hidden="false" customHeight="false" outlineLevel="0" collapsed="false">
      <c r="A307" s="0" t="n">
        <f aca="false">image("http://localhost:8000/sprites/florges.png", 4)</f>
        <v>0</v>
      </c>
      <c r="B307" s="0" t="s">
        <v>247</v>
      </c>
      <c r="C307" s="0" t="s">
        <v>248</v>
      </c>
      <c r="D307" s="0" t="s">
        <v>249</v>
      </c>
      <c r="E307" s="0" t="s">
        <v>250</v>
      </c>
    </row>
    <row r="308" customFormat="false" ht="15" hidden="false" customHeight="false" outlineLevel="0" collapsed="false">
      <c r="A308" s="0" t="n">
        <f aca="false">image("http://localhost:8000/sprites/hoopa.png", 4)</f>
        <v>0</v>
      </c>
      <c r="B308" s="0" t="n">
        <f aca="false">image("http://localhost:8000/sprites/hoopa-unbound.png", 4)</f>
        <v>0</v>
      </c>
    </row>
    <row r="309" customFormat="false" ht="15" hidden="false" customHeight="false" outlineLevel="0" collapsed="false">
      <c r="A309" s="0" t="n">
        <f aca="false">image("http://localhost:8000/sprites/greninja.png", 4)</f>
        <v>0</v>
      </c>
      <c r="B309" s="0" t="s">
        <v>251</v>
      </c>
      <c r="C309" s="0" t="s">
        <v>45</v>
      </c>
      <c r="D309" s="0" t="s">
        <v>252</v>
      </c>
      <c r="E309" s="0" t="s">
        <v>253</v>
      </c>
      <c r="F309" s="0" t="s">
        <v>254</v>
      </c>
    </row>
    <row r="312" customFormat="false" ht="15" hidden="false" customHeight="false" outlineLevel="0" collapsed="false">
      <c r="A312" s="1" t="s">
        <v>255</v>
      </c>
      <c r="B312" s="1"/>
      <c r="C312" s="1"/>
      <c r="D312" s="1"/>
      <c r="E312" s="1"/>
      <c r="F312" s="1"/>
    </row>
    <row r="313" customFormat="false" ht="15" hidden="false" customHeight="false" outlineLevel="0" collapsed="false">
      <c r="A313" s="0" t="n">
        <f aca="false">image("http://localhost:8000/sprites/vivillon.png", 4)</f>
        <v>0</v>
      </c>
      <c r="B313" s="0" t="s">
        <v>256</v>
      </c>
      <c r="C313" s="0" t="s">
        <v>257</v>
      </c>
      <c r="D313" s="0" t="s">
        <v>258</v>
      </c>
      <c r="E313" s="0" t="s">
        <v>259</v>
      </c>
      <c r="F313" s="0" t="s">
        <v>260</v>
      </c>
    </row>
    <row r="314" customFormat="false" ht="15" hidden="false" customHeight="false" outlineLevel="0" collapsed="false">
      <c r="A314" s="0" t="s">
        <v>261</v>
      </c>
      <c r="B314" s="0" t="s">
        <v>262</v>
      </c>
      <c r="C314" s="0" t="s">
        <v>263</v>
      </c>
      <c r="D314" s="0" t="s">
        <v>264</v>
      </c>
      <c r="E314" s="0" t="s">
        <v>265</v>
      </c>
      <c r="F314" s="0" t="s">
        <v>266</v>
      </c>
    </row>
    <row r="315" customFormat="false" ht="15" hidden="false" customHeight="false" outlineLevel="0" collapsed="false">
      <c r="A315" s="0" t="s">
        <v>267</v>
      </c>
      <c r="B315" s="0" t="s">
        <v>268</v>
      </c>
      <c r="C315" s="0" t="s">
        <v>269</v>
      </c>
      <c r="D315" s="0" t="s">
        <v>270</v>
      </c>
      <c r="E315" s="0" t="s">
        <v>271</v>
      </c>
      <c r="F315" s="0" t="s">
        <v>272</v>
      </c>
    </row>
    <row r="316" customFormat="false" ht="15" hidden="false" customHeight="false" outlineLevel="0" collapsed="false">
      <c r="A316" s="0" t="s">
        <v>273</v>
      </c>
      <c r="B316" s="0" t="s">
        <v>274</v>
      </c>
    </row>
    <row r="318" customFormat="false" ht="15" hidden="false" customHeight="false" outlineLevel="0" collapsed="false">
      <c r="A318" s="1" t="s">
        <v>275</v>
      </c>
      <c r="B318" s="1"/>
      <c r="C318" s="1"/>
      <c r="D318" s="1"/>
      <c r="E318" s="1"/>
      <c r="F318" s="1"/>
    </row>
    <row r="319" customFormat="false" ht="15" hidden="false" customHeight="false" outlineLevel="0" collapsed="false">
      <c r="A319" s="0" t="s">
        <v>47</v>
      </c>
      <c r="B319" s="0" t="n">
        <f aca="false">image("http://localhost:8000/sprites/oricorio-pom-pom.png", 4)</f>
        <v>0</v>
      </c>
      <c r="C319" s="0" t="n">
        <f aca="false">image("http://localhost:8000/sprites/oricorio-pau.png", 4)</f>
        <v>0</v>
      </c>
      <c r="D319" s="0" t="n">
        <f aca="false">image("http://localhost:8000/sprites/oricorio-sensu.png", 4)</f>
        <v>0</v>
      </c>
    </row>
    <row r="320" customFormat="false" ht="15" hidden="false" customHeight="false" outlineLevel="0" collapsed="false">
      <c r="A320" s="0" t="n">
        <f aca="false">image("http://localhost:8000/sprites/rockruff.png", 4)</f>
        <v>0</v>
      </c>
      <c r="B320" s="0" t="s">
        <v>276</v>
      </c>
      <c r="C320" s="0" t="s">
        <v>48</v>
      </c>
      <c r="D320" s="0" t="n">
        <f aca="false">image("http://localhost:8000/sprites/lycanroc-midnight.png", 4)</f>
        <v>0</v>
      </c>
      <c r="E320" s="0" t="n">
        <f aca="false">image("http://localhost:8000/sprites/lycanroc-dusk.png", 4)</f>
        <v>0</v>
      </c>
    </row>
    <row r="321" customFormat="false" ht="15" hidden="false" customHeight="false" outlineLevel="0" collapsed="false">
      <c r="A321" s="0" t="n">
        <f aca="false">image("http://localhost:8000/sprites/minior-red.png", 4)</f>
        <v>0</v>
      </c>
      <c r="B321" s="0" t="n">
        <f aca="false">image("http://localhost:8000/sprites/minior-orange.png", 4)</f>
        <v>0</v>
      </c>
      <c r="C321" s="0" t="n">
        <f aca="false">image("http://localhost:8000/sprites/minior-yellow.png", 4)</f>
        <v>0</v>
      </c>
      <c r="D321" s="0" t="n">
        <f aca="false">image("http://localhost:8000/sprites/minior-green.png", 4)</f>
        <v>0</v>
      </c>
      <c r="E321" s="0" t="n">
        <f aca="false">image("http://localhost:8000/sprites/minior-blue.png", 4)</f>
        <v>0</v>
      </c>
      <c r="F321" s="0" t="n">
        <f aca="false">image("http://localhost:8000/sprites/minior-indigo.png", 4)</f>
        <v>0</v>
      </c>
    </row>
    <row r="322" customFormat="false" ht="15" hidden="false" customHeight="false" outlineLevel="0" collapsed="false">
      <c r="A322" s="0" t="n">
        <f aca="false">image("http://localhost:8000/sprites/minior-violet.png", 4)</f>
        <v>0</v>
      </c>
      <c r="B322" s="0" t="n">
        <f aca="false">image("http://localhost:8000/sprites/magearna.png", 4)</f>
        <v>0</v>
      </c>
      <c r="C322" s="0" t="n">
        <f aca="false">image("http://localhost:8000/sprites/magearna-original.png", 4)</f>
        <v>0</v>
      </c>
    </row>
    <row r="324" customFormat="false" ht="15" hidden="false" customHeight="false" outlineLevel="0" collapsed="false">
      <c r="A324" s="1" t="s">
        <v>277</v>
      </c>
      <c r="B324" s="1"/>
      <c r="C324" s="1"/>
      <c r="D324" s="1"/>
      <c r="E324" s="1"/>
      <c r="F324" s="1"/>
    </row>
    <row r="325" customFormat="false" ht="15" hidden="false" customHeight="false" outlineLevel="0" collapsed="false">
      <c r="A325" s="0" t="s">
        <v>63</v>
      </c>
      <c r="B325" s="0" t="n">
        <f aca="false">image("http://localhost:8000/sprites/toxtricity-low-key.png", 4)</f>
        <v>0</v>
      </c>
    </row>
    <row r="326" customFormat="false" ht="15" hidden="false" customHeight="false" outlineLevel="0" collapsed="false">
      <c r="A326" s="0" t="n">
        <f aca="false">image("http://localhost:8000/sprites/sinistea.png", 4)</f>
        <v>0</v>
      </c>
      <c r="B326" s="0" t="s">
        <v>278</v>
      </c>
      <c r="C326" s="0" t="n">
        <f aca="false">image("http://localhost:8000/sprites/polteageist.png", 4)</f>
        <v>0</v>
      </c>
      <c r="D326" s="0" t="s">
        <v>279</v>
      </c>
    </row>
    <row r="327" customFormat="false" ht="15" hidden="false" customHeight="false" outlineLevel="0" collapsed="false">
      <c r="A327" s="0" t="s">
        <v>69</v>
      </c>
      <c r="B327" s="0" t="n">
        <f aca="false">image("http://localhost:8000/sprites/urshifu-rapid-strike.png", 4)</f>
        <v>0</v>
      </c>
    </row>
    <row r="328" customFormat="false" ht="15" hidden="false" customHeight="false" outlineLevel="0" collapsed="false">
      <c r="A328" s="0" t="n">
        <f aca="false">image("http://localhost:8000/sprites/zarude.png", 4)</f>
        <v>0</v>
      </c>
      <c r="B328" s="0" t="s">
        <v>280</v>
      </c>
    </row>
    <row r="329" customFormat="false" ht="15" hidden="false" customHeight="false" outlineLevel="0" collapsed="false">
      <c r="A329" s="0" t="s">
        <v>72</v>
      </c>
      <c r="B329" s="0" t="n">
        <f aca="false">image("http://localhost:8000/sprites/enamorus-therian.png", 4)</f>
        <v>0</v>
      </c>
    </row>
    <row r="331" customFormat="false" ht="15" hidden="false" customHeight="false" outlineLevel="0" collapsed="false">
      <c r="A331" s="1" t="s">
        <v>281</v>
      </c>
      <c r="B331" s="1"/>
      <c r="C331" s="1"/>
      <c r="D331" s="1"/>
      <c r="E331" s="1"/>
      <c r="F331" s="1"/>
    </row>
    <row r="332" customFormat="false" ht="15" hidden="false" customHeight="false" outlineLevel="0" collapsed="false">
      <c r="A332" s="0" t="n">
        <f aca="false">image("http://localhost:8000/sprites/alcremie.png", 4)</f>
        <v>0</v>
      </c>
      <c r="B332" s="0" t="s">
        <v>282</v>
      </c>
      <c r="C332" s="0" t="s">
        <v>283</v>
      </c>
      <c r="D332" s="0" t="s">
        <v>284</v>
      </c>
      <c r="E332" s="0" t="s">
        <v>285</v>
      </c>
      <c r="F332" s="0" t="s">
        <v>286</v>
      </c>
    </row>
    <row r="333" customFormat="false" ht="15" hidden="false" customHeight="false" outlineLevel="0" collapsed="false">
      <c r="A333" s="0" t="s">
        <v>287</v>
      </c>
      <c r="B333" s="0" t="s">
        <v>288</v>
      </c>
      <c r="C333" s="0" t="s">
        <v>289</v>
      </c>
      <c r="D333" s="0" t="s">
        <v>290</v>
      </c>
      <c r="E333" s="0" t="s">
        <v>291</v>
      </c>
      <c r="F333" s="0" t="s">
        <v>292</v>
      </c>
    </row>
    <row r="334" customFormat="false" ht="15" hidden="false" customHeight="false" outlineLevel="0" collapsed="false">
      <c r="A334" s="0" t="s">
        <v>293</v>
      </c>
      <c r="B334" s="0" t="s">
        <v>294</v>
      </c>
      <c r="C334" s="0" t="s">
        <v>295</v>
      </c>
      <c r="D334" s="0" t="s">
        <v>296</v>
      </c>
      <c r="E334" s="0" t="s">
        <v>297</v>
      </c>
      <c r="F334" s="0" t="s">
        <v>298</v>
      </c>
    </row>
    <row r="335" customFormat="false" ht="15" hidden="false" customHeight="false" outlineLevel="0" collapsed="false">
      <c r="A335" s="0" t="s">
        <v>299</v>
      </c>
      <c r="B335" s="0" t="s">
        <v>300</v>
      </c>
      <c r="C335" s="0" t="s">
        <v>301</v>
      </c>
      <c r="D335" s="0" t="s">
        <v>302</v>
      </c>
      <c r="E335" s="0" t="s">
        <v>303</v>
      </c>
      <c r="F335" s="0" t="s">
        <v>304</v>
      </c>
    </row>
    <row r="336" customFormat="false" ht="15" hidden="false" customHeight="false" outlineLevel="0" collapsed="false">
      <c r="A336" s="0" t="s">
        <v>305</v>
      </c>
      <c r="B336" s="0" t="s">
        <v>306</v>
      </c>
      <c r="C336" s="0" t="s">
        <v>307</v>
      </c>
      <c r="D336" s="0" t="s">
        <v>308</v>
      </c>
    </row>
    <row r="338" customFormat="false" ht="15" hidden="false" customHeight="false" outlineLevel="0" collapsed="false">
      <c r="A338" s="1" t="s">
        <v>309</v>
      </c>
      <c r="B338" s="1"/>
      <c r="C338" s="1"/>
      <c r="D338" s="1"/>
      <c r="E338" s="1"/>
      <c r="F338" s="1"/>
    </row>
    <row r="339" customFormat="false" ht="15" hidden="false" customHeight="false" outlineLevel="0" collapsed="false">
      <c r="A339" s="0" t="s">
        <v>310</v>
      </c>
      <c r="B339" s="0" t="s">
        <v>311</v>
      </c>
      <c r="C339" s="0" t="s">
        <v>312</v>
      </c>
      <c r="D339" s="0" t="s">
        <v>313</v>
      </c>
      <c r="E339" s="0" t="s">
        <v>314</v>
      </c>
      <c r="F339" s="0" t="s">
        <v>315</v>
      </c>
    </row>
    <row r="340" customFormat="false" ht="15" hidden="false" customHeight="false" outlineLevel="0" collapsed="false">
      <c r="A340" s="0" t="s">
        <v>316</v>
      </c>
      <c r="B340" s="0" t="s">
        <v>317</v>
      </c>
      <c r="C340" s="0" t="s">
        <v>318</v>
      </c>
      <c r="D340" s="0" t="s">
        <v>319</v>
      </c>
      <c r="E340" s="0" t="s">
        <v>320</v>
      </c>
      <c r="F340" s="0" t="s">
        <v>321</v>
      </c>
    </row>
    <row r="341" customFormat="false" ht="15" hidden="false" customHeight="false" outlineLevel="0" collapsed="false">
      <c r="A341" s="0" t="s">
        <v>322</v>
      </c>
      <c r="B341" s="0" t="s">
        <v>323</v>
      </c>
      <c r="C341" s="0" t="s">
        <v>324</v>
      </c>
      <c r="D341" s="0" t="s">
        <v>325</v>
      </c>
      <c r="E341" s="0" t="s">
        <v>326</v>
      </c>
      <c r="F341" s="0" t="s">
        <v>327</v>
      </c>
    </row>
    <row r="342" customFormat="false" ht="15" hidden="false" customHeight="false" outlineLevel="0" collapsed="false">
      <c r="A342" s="0" t="s">
        <v>328</v>
      </c>
      <c r="B342" s="0" t="s">
        <v>329</v>
      </c>
      <c r="C342" s="0" t="s">
        <v>330</v>
      </c>
      <c r="D342" s="0" t="s">
        <v>331</v>
      </c>
      <c r="E342" s="0" t="s">
        <v>332</v>
      </c>
      <c r="F342" s="0" t="s">
        <v>333</v>
      </c>
    </row>
    <row r="343" customFormat="false" ht="15" hidden="false" customHeight="false" outlineLevel="0" collapsed="false">
      <c r="A343" s="0" t="s">
        <v>334</v>
      </c>
      <c r="B343" s="0" t="s">
        <v>335</v>
      </c>
      <c r="C343" s="0" t="s">
        <v>336</v>
      </c>
      <c r="D343" s="0" t="s">
        <v>337</v>
      </c>
    </row>
    <row r="345" customFormat="false" ht="15" hidden="false" customHeight="false" outlineLevel="0" collapsed="false">
      <c r="A345" s="1" t="s">
        <v>338</v>
      </c>
      <c r="B345" s="1"/>
      <c r="C345" s="1"/>
      <c r="D345" s="1"/>
      <c r="E345" s="1"/>
      <c r="F345" s="1"/>
    </row>
    <row r="346" customFormat="false" ht="15" hidden="false" customHeight="false" outlineLevel="0" collapsed="false">
      <c r="A346" s="0" t="s">
        <v>339</v>
      </c>
      <c r="B346" s="0" t="s">
        <v>340</v>
      </c>
      <c r="C346" s="0" t="s">
        <v>341</v>
      </c>
      <c r="D346" s="0" t="s">
        <v>342</v>
      </c>
      <c r="E346" s="0" t="s">
        <v>343</v>
      </c>
      <c r="F346" s="0" t="s">
        <v>344</v>
      </c>
    </row>
    <row r="347" customFormat="false" ht="15" hidden="false" customHeight="false" outlineLevel="0" collapsed="false">
      <c r="A347" s="0" t="s">
        <v>345</v>
      </c>
    </row>
    <row r="349" customFormat="false" ht="15" hidden="false" customHeight="false" outlineLevel="0" collapsed="false">
      <c r="A349" s="1" t="s">
        <v>346</v>
      </c>
      <c r="B349" s="1"/>
      <c r="C349" s="1"/>
      <c r="D349" s="1"/>
      <c r="E349" s="1"/>
      <c r="F349" s="1"/>
    </row>
    <row r="350" customFormat="false" ht="15" hidden="false" customHeight="false" outlineLevel="0" collapsed="false">
      <c r="A350" s="0" t="n">
        <f aca="false">image("http://localhost:8000/sprites/venusaur.png", 4)</f>
        <v>0</v>
      </c>
      <c r="B350" s="0" t="s">
        <v>74</v>
      </c>
      <c r="C350" s="0" t="n">
        <f aca="false">image("http://localhost:8000/sprites/charizard.png", 4)</f>
        <v>0</v>
      </c>
      <c r="D350" s="0" t="n">
        <f aca="false">image("http://localhost:8000/sprites/blastoise.png", 4)</f>
        <v>0</v>
      </c>
      <c r="E350" s="0" t="n">
        <f aca="false">image("http://localhost:8000/sprites/butterfree.png", 4)</f>
        <v>0</v>
      </c>
      <c r="F350" s="0" t="s">
        <v>75</v>
      </c>
    </row>
    <row r="351" customFormat="false" ht="15" hidden="false" customHeight="false" outlineLevel="0" collapsed="false">
      <c r="A351" s="0" t="n">
        <f aca="false">image("http://localhost:8000/sprites/pikachu.png", 4)</f>
        <v>0</v>
      </c>
      <c r="B351" s="0" t="s">
        <v>78</v>
      </c>
      <c r="C351" s="0" t="n">
        <f aca="false">image("http://localhost:8000/sprites/meowth.png", 4)</f>
        <v>0</v>
      </c>
      <c r="D351" s="0" t="n">
        <f aca="false">image("http://localhost:8000/sprites/machamp.png", 4)</f>
        <v>0</v>
      </c>
      <c r="E351" s="0" t="n">
        <f aca="false">image("http://localhost:8000/sprites/gengar.png", 4)</f>
        <v>0</v>
      </c>
      <c r="F351" s="0" t="n">
        <f aca="false">image("http://localhost:8000/sprites/kingler.png", 4)</f>
        <v>0</v>
      </c>
    </row>
    <row r="352" customFormat="false" ht="15" hidden="false" customHeight="false" outlineLevel="0" collapsed="false">
      <c r="A352" s="0" t="n">
        <f aca="false">image("http://localhost:8000/sprites/lapras.png", 4)</f>
        <v>0</v>
      </c>
      <c r="B352" s="0" t="n">
        <f aca="false">image("http://localhost:8000/sprites/eevee.png", 4)</f>
        <v>0</v>
      </c>
      <c r="C352" s="0" t="s">
        <v>96</v>
      </c>
      <c r="D352" s="0" t="n">
        <f aca="false">image("http://localhost:8000/sprites/snorlax.png", 4)</f>
        <v>0</v>
      </c>
      <c r="E352" s="0" t="n">
        <f aca="false">image("http://localhost:8000/sprites/garbodor.png", 4)</f>
        <v>0</v>
      </c>
      <c r="F352" s="0" t="n">
        <f aca="false">image("http://localhost:8000/sprites/melmetal.png", 4)</f>
        <v>0</v>
      </c>
    </row>
    <row r="353" customFormat="false" ht="15" hidden="false" customHeight="false" outlineLevel="0" collapsed="false">
      <c r="A353" s="0" t="n">
        <f aca="false">image("http://localhost:8000/sprites/rillaboom.png", 4)</f>
        <v>0</v>
      </c>
      <c r="B353" s="0" t="n">
        <f aca="false">image("http://localhost:8000/sprites/cinderace.png", 4)</f>
        <v>0</v>
      </c>
      <c r="C353" s="0" t="n">
        <f aca="false">image("http://localhost:8000/sprites/inteleon.png", 4)</f>
        <v>0</v>
      </c>
      <c r="D353" s="0" t="n">
        <f aca="false">image("http://localhost:8000/sprites/corviknight.png", 4)</f>
        <v>0</v>
      </c>
      <c r="E353" s="0" t="n">
        <f aca="false">image("http://localhost:8000/sprites/orbeetle.png", 4)</f>
        <v>0</v>
      </c>
      <c r="F353" s="0" t="n">
        <f aca="false">image("http://localhost:8000/sprites/drednaw.png", 4)</f>
        <v>0</v>
      </c>
    </row>
    <row r="354" customFormat="false" ht="15" hidden="false" customHeight="false" outlineLevel="0" collapsed="false">
      <c r="A354" s="0" t="n">
        <f aca="false">image("http://localhost:8000/sprites/coalossal.png", 4)</f>
        <v>0</v>
      </c>
      <c r="B354" s="0" t="n">
        <f aca="false">image("http://localhost:8000/sprites/flapple.png", 4)</f>
        <v>0</v>
      </c>
      <c r="C354" s="0" t="n">
        <f aca="false">image("http://localhost:8000/sprites/appletun.png", 4)</f>
        <v>0</v>
      </c>
      <c r="D354" s="0" t="n">
        <f aca="false">image("http://localhost:8000/sprites/sandaconda.png", 4)</f>
        <v>0</v>
      </c>
      <c r="E354" s="0" t="s">
        <v>63</v>
      </c>
      <c r="F354" s="0" t="n">
        <f aca="false">image("http://localhost:8000/sprites/toxtricity-low-key.png", 4)</f>
        <v>0</v>
      </c>
    </row>
    <row r="357" customFormat="false" ht="15" hidden="false" customHeight="false" outlineLevel="0" collapsed="false">
      <c r="A357" s="1" t="s">
        <v>347</v>
      </c>
      <c r="B357" s="1"/>
      <c r="C357" s="1"/>
      <c r="D357" s="1"/>
      <c r="E357" s="1"/>
      <c r="F357" s="1"/>
    </row>
    <row r="358" customFormat="false" ht="15" hidden="false" customHeight="false" outlineLevel="0" collapsed="false">
      <c r="A358" s="0" t="n">
        <f aca="false">image("http://localhost:8000/sprites/centiskorch.png", 4)</f>
        <v>0</v>
      </c>
      <c r="B358" s="0" t="n">
        <f aca="false">image("http://localhost:8000/sprites/hatterene.png", 4)</f>
        <v>0</v>
      </c>
      <c r="C358" s="0" t="n">
        <f aca="false">image("http://localhost:8000/sprites/grimmsnarl.png", 4)</f>
        <v>0</v>
      </c>
      <c r="D358" s="0" t="n">
        <f aca="false">image("http://localhost:8000/sprites/alcremie.png", 4)</f>
        <v>0</v>
      </c>
      <c r="E358" s="0" t="n">
        <f aca="false">image("http://localhost:8000/sprites/copperajah.png", 4)</f>
        <v>0</v>
      </c>
      <c r="F358" s="0" t="n">
        <f aca="false">image("http://localhost:8000/sprites/duraludon.png", 4)</f>
        <v>0</v>
      </c>
    </row>
    <row r="359" customFormat="false" ht="15" hidden="false" customHeight="false" outlineLevel="0" collapsed="false">
      <c r="A359" s="0" t="s">
        <v>69</v>
      </c>
      <c r="B359" s="0" t="n">
        <f aca="false">image("http://localhost:8000/sprites/urshifu-rapid-strike.png", 4)</f>
        <v>0</v>
      </c>
    </row>
    <row r="361" customFormat="false" ht="15" hidden="false" customHeight="false" outlineLevel="0" collapsed="false">
      <c r="A361" s="1" t="s">
        <v>348</v>
      </c>
      <c r="B361" s="1"/>
      <c r="C361" s="1"/>
      <c r="D361" s="1"/>
      <c r="E361" s="1"/>
      <c r="F361" s="1"/>
    </row>
    <row r="364" customFormat="false" ht="15" hidden="false" customHeight="false" outlineLevel="0" collapsed="false">
      <c r="A364" s="1" t="s">
        <v>349</v>
      </c>
      <c r="B364" s="1"/>
      <c r="C364" s="1"/>
      <c r="D364" s="1"/>
      <c r="E364" s="1"/>
      <c r="F364" s="1"/>
    </row>
    <row r="365" customFormat="false" ht="15" hidden="false" customHeight="false" outlineLevel="0" collapsed="false">
      <c r="A365" s="0" t="n">
        <f aca="false">image("http://localhost:8000/sprites/rattata-alola.png", 4)</f>
        <v>0</v>
      </c>
      <c r="B365" s="0" t="n">
        <f aca="false">image("http://localhost:8000/sprites/raticate-alola.png", 4)</f>
        <v>0</v>
      </c>
      <c r="C365" s="0" t="n">
        <f aca="false">image("http://localhost:8000/sprites/raichu-alola.png", 4)</f>
        <v>0</v>
      </c>
      <c r="D365" s="0" t="n">
        <f aca="false">image("http://localhost:8000/sprites/sandshrew-alola.png", 4)</f>
        <v>0</v>
      </c>
      <c r="E365" s="0" t="n">
        <f aca="false">image("http://localhost:8000/sprites/sandslash-alola.png", 4)</f>
        <v>0</v>
      </c>
      <c r="F365" s="0" t="n">
        <f aca="false">image("http://localhost:8000/sprites/vulpix-alola.png", 4)</f>
        <v>0</v>
      </c>
    </row>
    <row r="366" customFormat="false" ht="15" hidden="false" customHeight="false" outlineLevel="0" collapsed="false">
      <c r="A366" s="0" t="n">
        <f aca="false">image("http://localhost:8000/sprites/ninetales-alola.png", 4)</f>
        <v>0</v>
      </c>
      <c r="B366" s="0" t="n">
        <f aca="false">image("http://localhost:8000/sprites/diglett-alola.png", 4)</f>
        <v>0</v>
      </c>
      <c r="C366" s="0" t="n">
        <f aca="false">image("http://localhost:8000/sprites/dugtrio-alola.png", 4)</f>
        <v>0</v>
      </c>
      <c r="D366" s="0" t="n">
        <f aca="false">image("http://localhost:8000/sprites/meowth-alola.png", 4)</f>
        <v>0</v>
      </c>
      <c r="E366" s="0" t="n">
        <f aca="false">image("http://localhost:8000/sprites/persian-alola.png", 4)</f>
        <v>0</v>
      </c>
      <c r="F366" s="0" t="n">
        <f aca="false">image("http://localhost:8000/sprites/geodude-alola.png", 4)</f>
        <v>0</v>
      </c>
    </row>
    <row r="367" customFormat="false" ht="15" hidden="false" customHeight="false" outlineLevel="0" collapsed="false">
      <c r="A367" s="0" t="n">
        <f aca="false">image("http://localhost:8000/sprites/graveler-alola.png", 4)</f>
        <v>0</v>
      </c>
      <c r="B367" s="0" t="n">
        <f aca="false">image("http://localhost:8000/sprites/golem-alola.png", 4)</f>
        <v>0</v>
      </c>
      <c r="C367" s="0" t="n">
        <f aca="false">image("http://localhost:8000/sprites/grimer-alola.png", 4)</f>
        <v>0</v>
      </c>
      <c r="D367" s="0" t="n">
        <f aca="false">image("http://localhost:8000/sprites/muk-alola.png", 4)</f>
        <v>0</v>
      </c>
      <c r="E367" s="0" t="n">
        <f aca="false">image("http://localhost:8000/sprites/exeggutor-alola.png", 4)</f>
        <v>0</v>
      </c>
      <c r="F367" s="0" t="n">
        <f aca="false">image("http://localhost:8000/sprites/marowak-alola.png", 4)</f>
        <v>0</v>
      </c>
    </row>
    <row r="370" customFormat="false" ht="15" hidden="false" customHeight="false" outlineLevel="0" collapsed="false">
      <c r="A370" s="1" t="s">
        <v>350</v>
      </c>
      <c r="B370" s="1"/>
      <c r="C370" s="1"/>
      <c r="D370" s="1"/>
      <c r="E370" s="1"/>
      <c r="F370" s="1"/>
    </row>
    <row r="371" customFormat="false" ht="15" hidden="false" customHeight="false" outlineLevel="0" collapsed="false">
      <c r="A371" s="0" t="n">
        <f aca="false">image("http://localhost:8000/sprites/meowth-galar.png", 4)</f>
        <v>0</v>
      </c>
      <c r="B371" s="0" t="n">
        <f aca="false">image("http://localhost:8000/sprites/ponyta-galar.png", 4)</f>
        <v>0</v>
      </c>
      <c r="C371" s="0" t="n">
        <f aca="false">image("http://localhost:8000/sprites/rapidash-galar.png", 4)</f>
        <v>0</v>
      </c>
      <c r="D371" s="0" t="n">
        <f aca="false">image("http://localhost:8000/sprites/slowpoke-galar.png", 4)</f>
        <v>0</v>
      </c>
      <c r="E371" s="0" t="n">
        <f aca="false">image("http://localhost:8000/sprites/slowbro-galar.png", 4)</f>
        <v>0</v>
      </c>
      <c r="F371" s="0" t="n">
        <f aca="false">image("http://localhost:8000/sprites/farfetchd-galar.png", 4)</f>
        <v>0</v>
      </c>
    </row>
    <row r="372" customFormat="false" ht="15" hidden="false" customHeight="false" outlineLevel="0" collapsed="false">
      <c r="A372" s="0" t="n">
        <f aca="false">image("http://localhost:8000/sprites/weezing-galar.png", 4)</f>
        <v>0</v>
      </c>
      <c r="B372" s="0" t="s">
        <v>351</v>
      </c>
      <c r="C372" s="0" t="n">
        <f aca="false">image("http://localhost:8000/sprites/articuno-galar.png", 4)</f>
        <v>0</v>
      </c>
      <c r="D372" s="0" t="n">
        <f aca="false">image("http://localhost:8000/sprites/zapdos-galar.png", 4)</f>
        <v>0</v>
      </c>
      <c r="E372" s="0" t="n">
        <f aca="false">image("http://localhost:8000/sprites/moltres-galar.png", 4)</f>
        <v>0</v>
      </c>
      <c r="F372" s="0" t="n">
        <f aca="false">image("http://localhost:8000/sprites/slowking-galar.png", 4)</f>
        <v>0</v>
      </c>
    </row>
    <row r="373" customFormat="false" ht="15" hidden="false" customHeight="false" outlineLevel="0" collapsed="false">
      <c r="A373" s="0" t="n">
        <f aca="false">image("http://localhost:8000/sprites/corsola-galar.png", 4)</f>
        <v>0</v>
      </c>
      <c r="B373" s="0" t="n">
        <f aca="false">image("http://localhost:8000/sprites/zigzagoon-galar.png", 4)</f>
        <v>0</v>
      </c>
      <c r="C373" s="0" t="n">
        <f aca="false">image("http://localhost:8000/sprites/linoone-galar.png", 4)</f>
        <v>0</v>
      </c>
      <c r="D373" s="0" t="n">
        <f aca="false">image("http://localhost:8000/sprites/darumaka-galar.png", 4)</f>
        <v>0</v>
      </c>
      <c r="E373" s="0" t="s">
        <v>352</v>
      </c>
      <c r="F373" s="0" t="n">
        <f aca="false">image("http://localhost:8000/sprites/yamask-galar.png", 4)</f>
        <v>0</v>
      </c>
    </row>
    <row r="374" customFormat="false" ht="15" hidden="false" customHeight="false" outlineLevel="0" collapsed="false">
      <c r="A374" s="0" t="n">
        <f aca="false">image("http://localhost:8000/sprites/stunfisk-galar.png", 4)</f>
        <v>0</v>
      </c>
    </row>
    <row r="376" customFormat="false" ht="15" hidden="false" customHeight="false" outlineLevel="0" collapsed="false">
      <c r="A376" s="1" t="s">
        <v>353</v>
      </c>
      <c r="B376" s="1"/>
      <c r="C376" s="1"/>
      <c r="D376" s="1"/>
      <c r="E376" s="1"/>
      <c r="F376" s="1"/>
    </row>
    <row r="377" customFormat="false" ht="15" hidden="false" customHeight="false" outlineLevel="0" collapsed="false">
      <c r="A377" s="0" t="n">
        <f aca="false">image("http://localhost:8000/sprites/growlithe-hisui.png", 4)</f>
        <v>0</v>
      </c>
      <c r="B377" s="0" t="n">
        <f aca="false">image("http://localhost:8000/sprites/arcanine-hisui.png", 4)</f>
        <v>0</v>
      </c>
      <c r="C377" s="0" t="n">
        <f aca="false">image("http://localhost:8000/sprites/voltorb-hisui.png", 4)</f>
        <v>0</v>
      </c>
      <c r="D377" s="0" t="n">
        <f aca="false">image("http://localhost:8000/sprites/electrode-hisui.png", 4)</f>
        <v>0</v>
      </c>
      <c r="E377" s="0" t="n">
        <f aca="false">image("http://localhost:8000/sprites/typhlosion-hisui.png", 4)</f>
        <v>0</v>
      </c>
      <c r="F377" s="0" t="n">
        <f aca="false">image("http://localhost:8000/sprites/qwilfish-hisui.png", 4)</f>
        <v>0</v>
      </c>
    </row>
    <row r="378" customFormat="false" ht="15" hidden="false" customHeight="false" outlineLevel="0" collapsed="false">
      <c r="A378" s="0" t="n">
        <f aca="false">image("http://localhost:8000/sprites/sneasel-hisui.png", 4)</f>
        <v>0</v>
      </c>
      <c r="B378" s="0" t="n">
        <f aca="false">image("http://localhost:8000/sprites/samurott-hisui.png", 4)</f>
        <v>0</v>
      </c>
      <c r="C378" s="0" t="n">
        <f aca="false">image("http://localhost:8000/sprites/lilligant-hisui.png", 4)</f>
        <v>0</v>
      </c>
      <c r="D378" s="0" t="n">
        <f aca="false">image("http://localhost:8000/sprites/basculin-white-striped.png", 4)</f>
        <v>0</v>
      </c>
      <c r="E378" s="0" t="n">
        <f aca="false">image("http://localhost:8000/sprites/zorua-hisui.png", 4)</f>
        <v>0</v>
      </c>
      <c r="F378" s="0" t="n">
        <f aca="false">image("http://localhost:8000/sprites/zoroark-hisui.png", 4)</f>
        <v>0</v>
      </c>
    </row>
    <row r="379" customFormat="false" ht="15" hidden="false" customHeight="false" outlineLevel="0" collapsed="false">
      <c r="A379" s="0" t="n">
        <f aca="false">image("http://localhost:8000/sprites/braviary-hisui.png", 4)</f>
        <v>0</v>
      </c>
      <c r="B379" s="0" t="n">
        <f aca="false">image("http://localhost:8000/sprites/sliggoo-hisui.png", 4)</f>
        <v>0</v>
      </c>
      <c r="C379" s="0" t="n">
        <f aca="false">image("http://localhost:8000/sprites/goodra-hisui.png", 4)</f>
        <v>0</v>
      </c>
      <c r="D379" s="0" t="n">
        <f aca="false">image("http://localhost:8000/sprites/avalugg-hisui.png", 4)</f>
        <v>0</v>
      </c>
      <c r="E379" s="0" t="n">
        <f aca="false">image("http://localhost:8000/sprites/decidueye-hisui.png", 4)</f>
        <v>0</v>
      </c>
    </row>
  </sheetData>
  <mergeCells count="53">
    <mergeCell ref="A1:F1"/>
    <mergeCell ref="A9:F9"/>
    <mergeCell ref="A17:F17"/>
    <mergeCell ref="A25:F25"/>
    <mergeCell ref="A33:F33"/>
    <mergeCell ref="A41:F41"/>
    <mergeCell ref="A49:F49"/>
    <mergeCell ref="A57:F57"/>
    <mergeCell ref="A65:F65"/>
    <mergeCell ref="A73:F73"/>
    <mergeCell ref="A81:F81"/>
    <mergeCell ref="A89:F89"/>
    <mergeCell ref="A97:F97"/>
    <mergeCell ref="A105:F105"/>
    <mergeCell ref="A113:F113"/>
    <mergeCell ref="A121:F121"/>
    <mergeCell ref="A129:F129"/>
    <mergeCell ref="A137:F137"/>
    <mergeCell ref="A145:F145"/>
    <mergeCell ref="A153:F153"/>
    <mergeCell ref="A161:F161"/>
    <mergeCell ref="A169:F169"/>
    <mergeCell ref="A177:F177"/>
    <mergeCell ref="A185:F185"/>
    <mergeCell ref="A193:F193"/>
    <mergeCell ref="A201:F201"/>
    <mergeCell ref="A209:F209"/>
    <mergeCell ref="A217:F217"/>
    <mergeCell ref="A225:F225"/>
    <mergeCell ref="A233:F233"/>
    <mergeCell ref="A241:F241"/>
    <mergeCell ref="A244:F244"/>
    <mergeCell ref="A252:F252"/>
    <mergeCell ref="A260:F260"/>
    <mergeCell ref="A268:F268"/>
    <mergeCell ref="A273:F273"/>
    <mergeCell ref="A277:F277"/>
    <mergeCell ref="A284:F284"/>
    <mergeCell ref="A291:F291"/>
    <mergeCell ref="A298:F298"/>
    <mergeCell ref="A304:F304"/>
    <mergeCell ref="A312:F312"/>
    <mergeCell ref="A318:F318"/>
    <mergeCell ref="A324:F324"/>
    <mergeCell ref="A331:F331"/>
    <mergeCell ref="A338:F338"/>
    <mergeCell ref="A345:F345"/>
    <mergeCell ref="A349:F349"/>
    <mergeCell ref="A357:F357"/>
    <mergeCell ref="A361:F361"/>
    <mergeCell ref="A364:F364"/>
    <mergeCell ref="A370:F370"/>
    <mergeCell ref="A376:F3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2023-03-13T04:19:05Z</dcterms:created>
  <dc:creator/>
  <dc:description/>
  <dc:language>en-US</dc:language>
  <cp:lastModifiedBy/>
  <dcterms:modified xsi:type="dcterms:W3CDTF">2023-03-13T04:19:05Z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