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<sst xmlns="http://schemas.openxmlformats.org/spreadsheetml/2006/main" count="3061" uniqueCount="1662">
  <si>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</si>
  <si>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</si>
  <si>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</si>
  <si>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</si>
  <si>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</si>
  <si>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</si>
  <si>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</si>
  <si>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</si>
  <si>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</si>
  <si>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</si>
  <si>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</si>
  <si>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</si>
  <si>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</si>
  <si>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</si>
  <si>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</si>
  <si>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</si>
  <si>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</si>
  <si>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</si>
  <si>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</si>
  <si>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</si>
  <si>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</si>
  <si>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</si>
  <si>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</si>
  <si>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</si>
  <si>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</si>
  <si>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</si>
  <si>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</si>
  <si>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</si>
  <si>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</si>
  <si>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</si>
  <si>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</si>
  <si>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</si>
  <si>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</si>
  <si>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</si>
  <si>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</si>
  <si>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</si>
  <si>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</si>
  <si>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</si>
  <si>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</si>
  <si>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</si>
  <si>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</si>
  <si>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</si>
  <si>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</si>
  <si>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</si>
  <si>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</si>
  <si>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</si>
  <si>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</si>
  <si>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</si>
  <si>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</si>
  <si>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</si>
  <si>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</si>
  <si>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</si>
  <si>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</si>
  <si>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</si>
  <si>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</si>
  <si>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</si>
  <si>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</si>
  <si>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</si>
  <si>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</si>
  <si>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</si>
  <si>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</si>
  <si>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</si>
  <si>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</si>
  <si>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</si>
  <si>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</si>
  <si>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</si>
  <si>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</si>
  <si>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</si>
  <si>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</si>
  <si>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</si>
  <si>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</si>
  <si>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</si>
  <si>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</si>
  <si>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</si>
  <si>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</si>
  <si>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</si>
  <si>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</si>
  <si>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</si>
  <si>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</si>
  <si>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</si>
  <si>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</si>
  <si>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</si>
  <si>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</si>
  <si>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</si>
  <si>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</si>
  <si>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</si>
  <si>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</si>
  <si>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</si>
  <si>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</si>
  <si>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</si>
  <si>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</si>
  <si>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</si>
  <si>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</si>
  <si>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</si>
  <si>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</si>
  <si>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</si>
  <si>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</si>
  <si>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</si>
  <si>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</si>
  <si>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</si>
  <si>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</si>
  <si>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</si>
  <si>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</si>
  <si>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</si>
  <si>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</si>
  <si>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</si>
  <si>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</si>
  <si>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</si>
  <si>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</si>
  <si>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</si>
  <si>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</si>
  <si>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</si>
  <si>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</si>
  <si>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</si>
  <si>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</si>
  <si>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</si>
  <si>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</si>
  <si>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</si>
  <si>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</si>
  <si>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</si>
  <si>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</si>
  <si>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</si>
  <si>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</si>
  <si>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</si>
  <si>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</si>
  <si>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</si>
  <si>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</si>
  <si>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</si>
  <si>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</si>
  <si>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</si>
  <si>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</si>
  <si>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</si>
  <si>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</si>
  <si>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</si>
  <si>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</si>
  <si>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</si>
  <si>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</si>
  <si>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</si>
  <si>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</si>
  <si>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</si>
  <si>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</si>
  <si>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</si>
  <si>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</si>
  <si>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</si>
  <si>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</si>
  <si>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</si>
  <si>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</si>
  <si>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</si>
  <si>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</si>
  <si>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</si>
  <si>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</si>
  <si>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</si>
  <si>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</si>
  <si>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</si>
  <si>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</si>
  <si>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</si>
  <si>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</si>
  <si>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</si>
  <si>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</si>
  <si>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</si>
  <si>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</si>
  <si>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</si>
  <si>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</si>
  <si>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</si>
  <si>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</si>
  <si>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</si>
  <si>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</si>
  <si>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</si>
  <si>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</si>
  <si>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</si>
  <si>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</si>
  <si>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</si>
  <si>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</si>
  <si>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</si>
  <si>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</si>
  <si>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</si>
  <si>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</si>
  <si>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</si>
  <si>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</si>
  <si>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</si>
  <si>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</si>
  <si>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</si>
  <si>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</si>
  <si>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</si>
  <si>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</si>
  <si>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</si>
  <si>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</si>
  <si>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</si>
  <si>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</si>
  <si>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</si>
  <si>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</si>
  <si>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</si>
  <si>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</si>
  <si>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</si>
  <si>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</si>
  <si>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</si>
  <si>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</si>
  <si>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</si>
  <si>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</si>
  <si>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</si>
  <si>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</si>
  <si>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</si>
  <si>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</si>
  <si>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</si>
  <si>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</si>
  <si>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</si>
  <si>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</si>
  <si>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</si>
  <si>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</si>
  <si>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</si>
  <si>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</si>
  <si>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</si>
  <si>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</si>
  <si>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</si>
  <si>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</si>
  <si>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</si>
  <si>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</si>
  <si>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</si>
  <si>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</si>
  <si>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</si>
  <si>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</si>
  <si>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</si>
  <si>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</si>
  <si>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</si>
  <si>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</si>
  <si>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</si>
  <si>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</si>
  <si>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</si>
  <si>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</si>
  <si>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</si>
  <si>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</si>
  <si>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</si>
  <si>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</si>
  <si>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</si>
  <si>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</si>
  <si>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</si>
  <si>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</si>
  <si>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</si>
  <si>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</si>
  <si>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</si>
  <si>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</si>
  <si>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</si>
  <si>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</si>
  <si>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</si>
  <si>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</si>
  <si>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</si>
  <si>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</si>
  <si>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</si>
  <si>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</si>
  <si>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</si>
  <si>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</si>
  <si>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</si>
  <si>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</si>
  <si>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</si>
  <si>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</si>
  <si>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</si>
  <si>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</si>
  <si>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</si>
  <si>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</si>
  <si>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</si>
  <si>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</si>
  <si>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</si>
  <si>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</si>
  <si>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</si>
  <si>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</si>
  <si>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</si>
  <si>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</si>
  <si>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</si>
  <si>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</si>
  <si>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</si>
  <si>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</si>
  <si>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</si>
  <si>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</si>
  <si>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</si>
  <si>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</si>
  <si>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</si>
  <si>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</si>
  <si>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</si>
  <si>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</si>
  <si>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</si>
  <si>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</si>
  <si>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</si>
  <si>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</si>
  <si>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</si>
  <si>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</si>
  <si>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</si>
  <si>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</si>
  <si>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</si>
  <si>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</si>
  <si>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</si>
  <si>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</si>
  <si>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</si>
  <si>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</si>
  <si>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</si>
  <si>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</si>
  <si>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</si>
  <si>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</si>
  <si>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</si>
  <si>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</si>
  <si>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</si>
  <si>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</si>
  <si>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</si>
  <si>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</si>
  <si>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</si>
  <si>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</si>
  <si>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</si>
  <si>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</si>
  <si>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</si>
  <si>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</si>
  <si>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</si>
  <si>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</si>
  <si>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</si>
  <si>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</si>
  <si>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</si>
  <si>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</si>
  <si>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</si>
  <si>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</si>
  <si>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</si>
  <si>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</si>
  <si>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</si>
  <si>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</si>
  <si>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</si>
  <si>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</si>
  <si>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</si>
  <si>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</si>
  <si>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</si>
  <si>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</si>
  <si>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</si>
  <si>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</si>
  <si>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</si>
  <si>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</si>
  <si>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</si>
  <si>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</si>
  <si>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</si>
  <si>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</si>
  <si>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</si>
  <si>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</si>
  <si>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</si>
  <si>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</si>
  <si>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</si>
  <si>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</si>
  <si>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</si>
  <si>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</si>
  <si>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</si>
  <si>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</si>
  <si>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</si>
  <si>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</si>
  <si>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</si>
  <si>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</si>
  <si>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</si>
  <si>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</si>
  <si>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</si>
  <si>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</si>
  <si>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</si>
  <si>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</si>
  <si>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</si>
  <si>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</si>
  <si>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</si>
  <si>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</si>
  <si>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</si>
  <si>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</si>
  <si>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</si>
  <si>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</si>
  <si>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</si>
  <si>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</si>
  <si>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</si>
  <si>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</si>
  <si>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</si>
  <si>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</si>
  <si>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</si>
  <si>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</si>
  <si>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</si>
  <si>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</si>
  <si>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</si>
  <si>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</si>
  <si>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</si>
  <si>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</si>
  <si>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</si>
  <si>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</si>
  <si>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</si>
  <si>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</si>
  <si>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</si>
  <si>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</si>
  <si>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</si>
  <si>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</si>
  <si>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</si>
  <si>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</si>
  <si>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</si>
  <si>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</si>
  <si>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</si>
  <si>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</si>
  <si>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</si>
  <si>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</si>
  <si>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</si>
  <si>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</si>
  <si>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</si>
  <si>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</si>
  <si>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</si>
  <si>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</si>
  <si>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</si>
  <si>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</si>
  <si>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</si>
  <si>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</si>
  <si>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</si>
  <si>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</si>
  <si>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</si>
  <si>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</si>
  <si>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</si>
  <si>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</si>
  <si>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</si>
  <si>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</si>
  <si>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</si>
  <si>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</si>
  <si>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</si>
  <si>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</si>
  <si>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</si>
  <si>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</si>
  <si>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</si>
  <si>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</si>
  <si>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</si>
  <si>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</si>
  <si>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</si>
  <si>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</si>
  <si>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</si>
  <si>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</si>
  <si>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</si>
  <si>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</si>
  <si>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</si>
  <si>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</si>
  <si>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</si>
  <si>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</si>
  <si>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</si>
  <si>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</si>
  <si>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</si>
  <si>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</si>
  <si>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</si>
  <si>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</si>
  <si>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</si>
  <si>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</si>
  <si>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</si>
  <si>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</si>
  <si>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</si>
  <si>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</si>
  <si>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</si>
  <si>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</si>
  <si>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</si>
  <si>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</si>
  <si>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</si>
  <si>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</si>
  <si>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</si>
  <si>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</si>
  <si>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</si>
  <si>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</si>
  <si>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</si>
  <si>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</si>
  <si>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</si>
  <si>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</si>
  <si>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</si>
  <si>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</si>
  <si>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</si>
  <si>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</si>
  <si>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</si>
  <si>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</si>
  <si>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</si>
  <si>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</si>
  <si>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</si>
  <si>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</si>
  <si>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</si>
  <si>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</si>
  <si>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</si>
  <si>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</si>
  <si>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</si>
  <si>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</si>
  <si>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</si>
  <si>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</si>
  <si>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</si>
  <si>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</si>
  <si>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</si>
  <si>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</si>
  <si>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</si>
  <si>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</si>
  <si>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</si>
  <si>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</si>
  <si>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</si>
  <si>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</si>
  <si>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</si>
  <si>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</si>
  <si>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</si>
  <si>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</si>
  <si>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</si>
  <si>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</si>
  <si>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</si>
  <si>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</si>
  <si>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</si>
  <si>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</si>
  <si>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</si>
  <si>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</si>
  <si>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</si>
  <si>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</si>
  <si>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</si>
  <si>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</si>
  <si>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</si>
  <si>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</si>
  <si>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</si>
  <si>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</si>
  <si>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</si>
  <si>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</si>
  <si>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</si>
  <si>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</si>
  <si>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</si>
  <si>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</si>
  <si>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</si>
  <si>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</si>
  <si>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</si>
  <si>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</si>
  <si>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</si>
  <si>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</si>
  <si>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</si>
  <si>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</si>
  <si>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</si>
  <si>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</si>
  <si>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</si>
  <si>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</si>
  <si>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</si>
  <si>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</si>
  <si>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</si>
  <si>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</si>
  <si>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</si>
  <si>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</si>
  <si>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</si>
  <si>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</si>
  <si>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</si>
  <si>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</si>
  <si>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</si>
  <si>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</si>
  <si>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</si>
  <si>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</si>
  <si>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</si>
  <si>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</si>
  <si>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</si>
  <si>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</si>
  <si>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</si>
  <si>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</si>
  <si>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</si>
  <si>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</si>
  <si>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</si>
  <si>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</si>
  <si>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</si>
  <si>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</si>
  <si>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</si>
  <si>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</si>
  <si>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</si>
  <si>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</si>
  <si>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</si>
  <si>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</si>
  <si>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</si>
  <si>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</si>
  <si>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</si>
  <si>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</si>
  <si>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</si>
  <si>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</si>
  <si>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</si>
  <si>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</si>
  <si>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</si>
  <si>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</si>
  <si>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</si>
  <si>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</si>
  <si>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</si>
  <si>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</si>
  <si>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</si>
  <si>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</si>
  <si>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</si>
  <si>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</si>
  <si>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</si>
  <si>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</si>
  <si>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</si>
  <si>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</si>
  <si>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</si>
  <si>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</si>
  <si>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</si>
  <si>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</si>
  <si>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</si>
  <si>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</si>
  <si>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</si>
  <si>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</si>
  <si>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</si>
  <si>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</si>
  <si>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</si>
  <si>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</si>
  <si>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</si>
  <si>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</si>
  <si>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</si>
  <si>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</si>
  <si>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</si>
  <si>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</si>
  <si>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</si>
  <si>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</si>
  <si>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</si>
  <si>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</si>
  <si>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</si>
  <si>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</si>
  <si>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</si>
  <si>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</si>
  <si>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</si>
  <si>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</si>
  <si>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</si>
  <si>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</si>
  <si>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</si>
  <si>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</si>
  <si>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</si>
  <si>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</si>
  <si>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</si>
  <si>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</si>
  <si>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</si>
  <si>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</si>
  <si>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</si>
  <si>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</si>
  <si>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</si>
  <si>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</si>
  <si>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</si>
  <si>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</si>
  <si>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</si>
  <si>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</si>
  <si>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</si>
  <si>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</si>
  <si>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</si>
  <si>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</si>
  <si>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</si>
  <si>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</si>
  <si>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</si>
  <si>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</si>
  <si>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</si>
  <si>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</si>
  <si>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</si>
  <si>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</si>
  <si>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</si>
  <si>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</si>
  <si>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</si>
  <si>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</si>
  <si>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</si>
  <si>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</si>
  <si>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</si>
  <si>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</si>
  <si>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</si>
  <si>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</si>
  <si>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</si>
  <si>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</si>
  <si>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</si>
  <si>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</si>
  <si>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</si>
  <si>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</si>
  <si>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</si>
  <si>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</si>
  <si>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</si>
  <si>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</si>
  <si>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</si>
  <si>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</si>
  <si>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</si>
  <si>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</si>
  <si>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</si>
  <si>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</si>
  <si>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</si>
  <si>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</si>
  <si>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</si>
  <si>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</si>
  <si>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</si>
  <si>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</si>
  <si>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</si>
  <si>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</si>
  <si>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</si>
  <si>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</si>
  <si>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</si>
  <si>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</si>
  <si>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</si>
  <si>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</si>
  <si>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</si>
  <si>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</si>
  <si>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</si>
  <si>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</si>
  <si>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</si>
  <si>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</si>
  <si>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</si>
  <si>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</si>
  <si>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</si>
  <si>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</si>
  <si>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</si>
  <si>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</si>
  <si>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</si>
  <si>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</si>
  <si>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</si>
  <si>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</si>
  <si>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</si>
  <si>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</si>
  <si>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</si>
  <si>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</si>
  <si>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</si>
  <si>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</si>
  <si>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</si>
  <si>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</si>
  <si>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</si>
  <si>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</si>
  <si>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</si>
  <si>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</si>
  <si>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</si>
  <si>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</si>
  <si>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</si>
  <si>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</si>
  <si>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</si>
  <si>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</si>
  <si>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</si>
  <si>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</si>
  <si>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</si>
  <si>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</si>
  <si>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</si>
  <si>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</si>
  <si>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</si>
  <si>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</si>
  <si>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</si>
  <si>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</si>
  <si>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</si>
  <si>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</si>
  <si>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</si>
  <si>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</si>
  <si>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</si>
  <si>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</si>
  <si>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</si>
  <si>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</si>
  <si>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</si>
  <si>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</si>
  <si>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</si>
  <si>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</si>
  <si>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</si>
  <si>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</si>
  <si>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</si>
  <si>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</si>
  <si>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</si>
  <si>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</si>
  <si>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</si>
  <si>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</si>
  <si>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</si>
  <si>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</si>
  <si>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</si>
  <si>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</si>
  <si>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</si>
  <si>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</si>
  <si>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</si>
  <si>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</si>
  <si>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</si>
  <si>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</si>
  <si>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</si>
  <si>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</si>
  <si>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</si>
  <si>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</si>
  <si>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</si>
  <si>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</si>
  <si>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</si>
  <si>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</si>
  <si>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</si>
  <si>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</si>
  <si>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</si>
  <si>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</si>
  <si>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</si>
  <si>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</si>
  <si>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</si>
  <si>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</si>
  <si>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</si>
  <si>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</si>
  <si>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</si>
  <si>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</si>
  <si>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</si>
  <si>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</si>
  <si>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</si>
  <si>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</si>
  <si>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</si>
  <si>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</si>
  <si>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</si>
  <si>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</si>
  <si>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</si>
  <si>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</si>
  <si>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</si>
  <si>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</si>
  <si>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</si>
  <si>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</si>
  <si>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</si>
  <si>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</si>
  <si>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</si>
  <si>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</si>
  <si>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</si>
  <si>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</si>
  <si>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</si>
  <si>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</si>
  <si>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</si>
  <si>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</si>
  <si>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</si>
  <si>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</si>
  <si>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</si>
  <si>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</si>
  <si>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</si>
  <si>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</si>
  <si>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</si>
  <si>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</si>
  <si>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</si>
  <si>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</si>
  <si>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</si>
  <si>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</si>
  <si>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</si>
  <si>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</si>
  <si>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</si>
  <si>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</si>
  <si>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</si>
  <si>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</si>
  <si>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</si>
  <si>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</si>
  <si>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</si>
  <si>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</si>
  <si>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</si>
  <si>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</si>
  <si>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</si>
  <si>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</si>
  <si>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</si>
  <si>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</si>
  <si>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</si>
  <si>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</si>
  <si>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</si>
  <si>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</si>
  <si>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</si>
  <si>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</si>
  <si>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</si>
  <si>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</si>
  <si>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</si>
  <si>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</si>
  <si>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</si>
  <si>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</si>
  <si>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</si>
  <si>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</si>
  <si>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</si>
  <si>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</si>
  <si>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</si>
  <si>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</si>
  <si>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</si>
  <si>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</si>
  <si>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</si>
  <si>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</si>
  <si>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</si>
  <si>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</si>
  <si>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</si>
  <si>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</si>
  <si>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</si>
  <si>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</si>
  <si>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</si>
  <si>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</si>
  <si>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</si>
  <si>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</si>
  <si>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</si>
  <si>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</si>
  <si>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</si>
  <si>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</si>
  <si>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</si>
  <si>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</si>
  <si>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</si>
  <si>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</si>
  <si>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</si>
  <si>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</si>
  <si>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</si>
  <si>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</si>
  <si>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</si>
  <si>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</si>
  <si>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</si>
  <si>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</si>
  <si>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</si>
  <si>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</si>
  <si>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</si>
  <si>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</si>
  <si>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</si>
  <si>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</si>
  <si>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</si>
  <si>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</si>
  <si>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</si>
  <si>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</si>
  <si>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</si>
  <si>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</si>
  <si>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</si>
  <si>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</si>
  <si>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</si>
  <si>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</si>
  <si>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</si>
  <si>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</si>
  <si>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</si>
  <si>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</si>
  <si>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</si>
  <si>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</si>
  <si>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</si>
  <si>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</si>
  <si>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</si>
  <si>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</si>
  <si>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</si>
  <si>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</si>
  <si>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</si>
  <si>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</si>
  <si>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</si>
  <si>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</si>
  <si>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</si>
  <si>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</si>
  <si>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</si>
  <si>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</si>
  <si>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</si>
  <si>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</si>
  <si>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</si>
  <si>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</si>
  <si>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</si>
  <si>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</si>
  <si>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</si>
  <si>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</si>
  <si>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</si>
  <si>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</si>
  <si>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</si>
  <si>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</si>
  <si>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</si>
  <si>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</si>
  <si>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</si>
  <si>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</si>
  <si>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</si>
  <si>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</si>
  <si>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</si>
  <si>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</si>
  <si>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</si>
  <si>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</si>
  <si>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</si>
  <si>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</si>
  <si>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</si>
  <si>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</si>
  <si>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</si>
  <si>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</si>
  <si>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</si>
  <si>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</si>
  <si>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</si>
  <si>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</si>
  <si>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</si>
  <si>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</si>
  <si>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</si>
  <si>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</si>
  <si>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</si>
  <si>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</si>
  <si>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</si>
  <si>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</si>
  <si>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</si>
  <si>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</si>
  <si>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</si>
  <si>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</si>
  <si>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</si>
  <si>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</si>
  <si>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</si>
  <si>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</si>
  <si>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</si>
  <si>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</si>
  <si>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</si>
  <si>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</si>
  <si>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</si>
  <si>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</si>
  <si>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</si>
  <si>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</si>
  <si>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</si>
  <si>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</si>
  <si>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</si>
  <si>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</si>
  <si>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</si>
  <si>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</si>
  <si>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</si>
  <si>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</si>
  <si>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</si>
  <si>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</si>
  <si>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</si>
  <si>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</si>
  <si>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</si>
  <si>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</si>
  <si>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</si>
  <si>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</si>
  <si>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</si>
  <si>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</si>
  <si>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</si>
  <si>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</si>
  <si>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</si>
  <si>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</si>
  <si>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</si>
  <si>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</si>
  <si>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</si>
  <si>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</si>
  <si>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</si>
  <si>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</si>
  <si>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</si>
  <si>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</si>
  <si>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</si>
  <si>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</si>
  <si>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</si>
  <si>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</si>
  <si>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</si>
  <si>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</si>
  <si>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</si>
  <si>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</si>
  <si>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</si>
  <si>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</si>
  <si>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</si>
  <si>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</si>
  <si>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</si>
  <si>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</si>
  <si>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</si>
  <si>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</si>
  <si>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</si>
  <si>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</si>
  <si>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</si>
  <si>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</si>
  <si>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</si>
  <si>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</si>
  <si>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</si>
  <si>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TODO: walking-wake (image not found)</t>
  </si>
  <si>
    <t>Iron-Leaves</t>
  </si>
  <si>
    <t>TODO: iron-leaves (image not found)</t>
  </si>
  <si>
    <t>Deoxys-Attack</t>
  </si>
  <si>
    <t>Deoxys-Defense</t>
  </si>
  <si>
    <t>Deoxys-Speed</t>
  </si>
  <si>
    <t>Wormadam-Sandy</t>
  </si>
  <si>
    <t>Wormadam-Trash</t>
  </si>
  <si>
    <t>Shaymin-Sky</t>
  </si>
  <si>
    <t>Giratina-Origin</t>
  </si>
  <si>
    <t>Rotom-Heat</t>
  </si>
  <si>
    <t>Rotom-Wash</t>
  </si>
  <si>
    <t>Rotom-Frost</t>
  </si>
  <si>
    <t>Rotom-Fan</t>
  </si>
  <si>
    <t>Rotom-Mow</t>
  </si>
  <si>
    <t>Castform-Sunny</t>
  </si>
  <si>
    <t>Castform-Rainy</t>
  </si>
  <si>
    <t>Castform-Snowy</t>
  </si>
  <si>
    <t>Basculin-Blue-Striped</t>
  </si>
  <si>
    <t>Darmanitan-Zen</t>
  </si>
  <si>
    <t>Meloetta-Pirouette</t>
  </si>
  <si>
    <t>Tornadus-Therian</t>
  </si>
  <si>
    <t>Thundurus-Therian</t>
  </si>
  <si>
    <t>Landorus-Therian</t>
  </si>
  <si>
    <t>Kyurem-Black</t>
  </si>
  <si>
    <t>Kyurem-White</t>
  </si>
  <si>
    <t>Keldeo-Resolute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</si>
  <si>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</si>
  <si>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</si>
  <si>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</si>
  <si>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</si>
  <si>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</si>
  <si>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</si>
  <si>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</si>
  <si>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</si>
  <si>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Venusaur-Mega</t>
  </si>
  <si>
    <t>Charizard-Mega-X</t>
  </si>
  <si>
    <t>Charizard-Mega-Y</t>
  </si>
  <si>
    <t>Blastoise-Mega</t>
  </si>
  <si>
    <t>Alakazam-Mega</t>
  </si>
  <si>
    <t>Gengar-Mega</t>
  </si>
  <si>
    <t>Kangaskhan-Mega</t>
  </si>
  <si>
    <t>Pinsir-Mega</t>
  </si>
  <si>
    <t>Gyarados-Mega</t>
  </si>
  <si>
    <t>Aerodactyl-Mega</t>
  </si>
  <si>
    <t>Mewtwo-Mega-X</t>
  </si>
  <si>
    <t>Mewtwo-Mega-Y</t>
  </si>
  <si>
    <t>Ampharos-Mega</t>
  </si>
  <si>
    <t>Scizor-Mega</t>
  </si>
  <si>
    <t>Heracross-Mega</t>
  </si>
  <si>
    <t>Houndoom-Mega</t>
  </si>
  <si>
    <t>Tyranitar-Mega</t>
  </si>
  <si>
    <t>Blaziken-Mega</t>
  </si>
  <si>
    <t>Gardevoir-Mega</t>
  </si>
  <si>
    <t>Mawile-Mega</t>
  </si>
  <si>
    <t>Aggron-Mega</t>
  </si>
  <si>
    <t>Medicham-Mega</t>
  </si>
  <si>
    <t>Manectric-Mega</t>
  </si>
  <si>
    <t>Banette-Mega</t>
  </si>
  <si>
    <t>Absol-Mega</t>
  </si>
  <si>
    <t>Garchomp-Mega</t>
  </si>
  <si>
    <t>Lucario-Mega</t>
  </si>
  <si>
    <t>Abomasnow-Mega</t>
  </si>
  <si>
    <t>Floette-Eternal</t>
  </si>
  <si>
    <t>Latias-Mega</t>
  </si>
  <si>
    <t>Latios-Mega</t>
  </si>
  <si>
    <t>Swampert-Mega</t>
  </si>
  <si>
    <t>Sceptile-Mega</t>
  </si>
  <si>
    <t>Sableye-Mega</t>
  </si>
  <si>
    <t>Altaria-Mega</t>
  </si>
  <si>
    <t>Gallade-Mega</t>
  </si>
  <si>
    <t>Audino-Mega</t>
  </si>
  <si>
    <t>Sharpedo-Mega</t>
  </si>
  <si>
    <t>Slowbro-Mega</t>
  </si>
  <si>
    <t>Steelix-Mega</t>
  </si>
  <si>
    <t>Pidgeot-Mega</t>
  </si>
  <si>
    <t>Glalie-Mega</t>
  </si>
  <si>
    <t>Diancie-Mega</t>
  </si>
  <si>
    <t>Metagross-Mega</t>
  </si>
  <si>
    <t>Kyogre-Primal</t>
  </si>
  <si>
    <t>Groudon-Primal</t>
  </si>
  <si>
    <t>Rayquaza-Mega</t>
  </si>
  <si>
    <t>Pikachu-Rock-Star</t>
  </si>
  <si>
    <t>Pikachu-Belle</t>
  </si>
  <si>
    <t>Pikachu-Pop-Star</t>
  </si>
  <si>
    <t>Pikachu-Phd</t>
  </si>
  <si>
    <t>Pikachu-Libre</t>
  </si>
  <si>
    <t>Pikachu-Cosplay</t>
  </si>
  <si>
    <t>Hoopa-Unbound</t>
  </si>
  <si>
    <t>Camerupt-Mega</t>
  </si>
  <si>
    <t>Lopunny-Mega</t>
  </si>
  <si>
    <t>Salamence-Mega</t>
  </si>
  <si>
    <t>Beedrill-Mega</t>
  </si>
  <si>
    <t>Rattata-Alola</t>
  </si>
  <si>
    <t>Raticate-Alola</t>
  </si>
  <si>
    <t>Raticate-Totem-Alola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</si>
  <si>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</si>
  <si>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</si>
  <si>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</si>
  <si>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</si>
  <si>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</si>
  <si>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</si>
  <si>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</si>
  <si>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</si>
  <si>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</si>
  <si>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</si>
  <si>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</si>
  <si>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</si>
  <si>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</si>
  <si>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</si>
  <si>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</si>
  <si>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</si>
  <si>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</si>
  <si>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</si>
  <si>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</si>
  <si>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</si>
  <si>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</si>
  <si>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</si>
  <si>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Greninja-Battle-Bond</t>
  </si>
  <si>
    <t>Greninja-Ash</t>
  </si>
  <si>
    <t>Zygarde-10-Power-Construct</t>
  </si>
  <si>
    <t>Zygarde-50-Power-Construct</t>
  </si>
  <si>
    <t>Zygarde-Complete</t>
  </si>
  <si>
    <t>Gumshoos-Totem</t>
  </si>
  <si>
    <t>Vikavolt-Totem</t>
  </si>
  <si>
    <t>Oricorio-Pom-Pom</t>
  </si>
  <si>
    <t>Oricorio-Pau</t>
  </si>
  <si>
    <t>Oricorio-Sensu</t>
  </si>
  <si>
    <t>Lycanroc-Midnight</t>
  </si>
  <si>
    <t>Wishiwashi-School</t>
  </si>
  <si>
    <t>Lurantis-Totem</t>
  </si>
  <si>
    <t>TODO: lurantis-totem (image not found)</t>
  </si>
  <si>
    <t>Salazzle-Totem</t>
  </si>
  <si>
    <t>TODO: salazzle-totem (image not found)</t>
  </si>
  <si>
    <t>Minior-Orange-Meteor</t>
  </si>
  <si>
    <t>Minior-Yellow-Meteor</t>
  </si>
  <si>
    <t>Minior-Green-Meteor</t>
  </si>
  <si>
    <t>Minior-Blue-Meteor</t>
  </si>
  <si>
    <t>Minior-Indigo-Meteor</t>
  </si>
  <si>
    <t>Minior-Violet-Meteor</t>
  </si>
  <si>
    <t>Minior-Red</t>
  </si>
  <si>
    <t>Minior-Orange</t>
  </si>
  <si>
    <t>Minior-Yellow</t>
  </si>
  <si>
    <t>Minior-Green</t>
  </si>
  <si>
    <t>Minior-Blue</t>
  </si>
  <si>
    <t>Minior-Indigo</t>
  </si>
  <si>
    <t>Minior-Violet</t>
  </si>
  <si>
    <t>Mimikyu-Busted</t>
  </si>
  <si>
    <t>Mimikyu-Totem-Disguised</t>
  </si>
  <si>
    <t>Mimikyu-Totem-Busted</t>
  </si>
  <si>
    <t>Kommo-O-Totem</t>
  </si>
  <si>
    <t>TODO: kommo-o-totem (image not found)</t>
  </si>
  <si>
    <t>Magearna-Original</t>
  </si>
  <si>
    <t>Pikachu-Partner-Cap</t>
  </si>
  <si>
    <t>Marowak-Totem</t>
  </si>
  <si>
    <t>Ribombee-Totem</t>
  </si>
  <si>
    <t>Rockruff-Own-Tempo</t>
  </si>
  <si>
    <t>Lycanroc-Dusk</t>
  </si>
  <si>
    <t>Araquanid-Totem</t>
  </si>
  <si>
    <t>TODO: araquanid-totem (image not found)</t>
  </si>
  <si>
    <t>Togedemaru-Totem</t>
  </si>
  <si>
    <t>TODO: togedemaru-totem (image not found)</t>
  </si>
  <si>
    <t>Necrozma-Dusk</t>
  </si>
  <si>
    <t>Necrozma-Dawn</t>
  </si>
  <si>
    <t>Necrozma-Ultra</t>
  </si>
  <si>
    <t>Pikachu-Starter</t>
  </si>
  <si>
    <t>TODO: pikachu-starter (image not found)</t>
  </si>
  <si>
    <t>Eevee-Starter</t>
  </si>
  <si>
    <t>TODO: eevee-starter (image not found)</t>
  </si>
  <si>
    <t>Pikachu-World-Cap</t>
  </si>
  <si>
    <t>TODO: pikachu-world-cap (image not found)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</si>
  <si>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</si>
  <si>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</si>
  <si>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</si>
  <si>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</si>
  <si>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</si>
  <si>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</si>
  <si>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</si>
  <si>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Mr-Mime-Galar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</si>
  <si>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</si>
  <si>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</si>
  <si>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</si>
  <si>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</si>
  <si>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</si>
  <si>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</si>
  <si>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</si>
  <si>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</si>
  <si>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Darmanitan-Galar-Standard</t>
  </si>
  <si>
    <t>Darmanitan-Galar-Zen</t>
  </si>
  <si>
    <t>Yamask-Galar</t>
  </si>
  <si>
    <t>Stunfisk-Galar</t>
  </si>
  <si>
    <t>Zygarde-10</t>
  </si>
  <si>
    <t>TODO: zygarde-10 (image not found)</t>
  </si>
  <si>
    <t>Cramorant-Gulping</t>
  </si>
  <si>
    <t>TODO: cramorant-gulping (image not found)</t>
  </si>
  <si>
    <t>Cramorant-Gorging</t>
  </si>
  <si>
    <t>TODO: cramorant-gorging (image not found)</t>
  </si>
  <si>
    <t>Toxtricity-Low-Key</t>
  </si>
  <si>
    <t>Eiscue-Noice</t>
  </si>
  <si>
    <t>Indeedee-Female</t>
  </si>
  <si>
    <t>Morpeko-Hangry</t>
  </si>
  <si>
    <t>TODO: morpeko-hangry (image not found)</t>
  </si>
  <si>
    <t>Zacian-Crowned</t>
  </si>
  <si>
    <t>Zamazenta-Crowned</t>
  </si>
  <si>
    <t>Eternatus-Eternamax</t>
  </si>
  <si>
    <t>Urshifu-Rapid-Strike</t>
  </si>
  <si>
    <t>Zarude-Dada</t>
  </si>
  <si>
    <t>TODO: zarude-dada (image not found)</t>
  </si>
  <si>
    <t>Calyrex-Ice</t>
  </si>
  <si>
    <t>Calyrex-Shadow</t>
  </si>
  <si>
    <t>Venusaur-Gmax</t>
  </si>
  <si>
    <t>Charizard-Gmax</t>
  </si>
  <si>
    <t>Blastoise-Gmax</t>
  </si>
  <si>
    <t>Butterfree-Gmax</t>
  </si>
  <si>
    <t>Pikachu-Gmax</t>
  </si>
  <si>
    <t>Meowth-Gmax</t>
  </si>
  <si>
    <t>Machamp-Gmax</t>
  </si>
  <si>
    <t>Gengar-Gmax</t>
  </si>
  <si>
    <t>Kingler-Gmax</t>
  </si>
  <si>
    <t>Lapras-Gmax</t>
  </si>
  <si>
    <t>Eevee-Gmax</t>
  </si>
  <si>
    <t>Snorlax-Gmax</t>
  </si>
  <si>
    <t>Garbodor-Gmax</t>
  </si>
  <si>
    <t>Melmetal-Gmax</t>
  </si>
  <si>
    <t>Rillaboom-Gmax</t>
  </si>
  <si>
    <t>Cinderace-Gmax</t>
  </si>
  <si>
    <t>Inteleon-Gmax</t>
  </si>
  <si>
    <t>Corviknight-Gmax</t>
  </si>
  <si>
    <t>Orbeetle-Gmax</t>
  </si>
  <si>
    <t>Drednaw-Gmax</t>
  </si>
  <si>
    <t>Coalossal-Gmax</t>
  </si>
  <si>
    <t>Flapple-Gmax</t>
  </si>
  <si>
    <t>Appletun-Gmax</t>
  </si>
  <si>
    <t>Sandaconda-Gmax</t>
  </si>
  <si>
    <t>Toxtricity-Amped-Gmax</t>
  </si>
  <si>
    <t>Centiskorch-Gmax</t>
  </si>
  <si>
    <t>Hatterene-Gmax</t>
  </si>
  <si>
    <t>Grimmsnarl-Gmax</t>
  </si>
  <si>
    <t>Alcremie-Gmax</t>
  </si>
  <si>
    <t>Copperajah-Gmax</t>
  </si>
  <si>
    <t>Duraludon-Gmax</t>
  </si>
  <si>
    <t>Urshifu-Single-Strike-Gmax</t>
  </si>
  <si>
    <t>Urshifu-Rapid-Strike-Gmax</t>
  </si>
  <si>
    <t>Toxtricity-Low-Key-Gmax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</si>
  <si>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</si>
  <si>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</si>
  <si>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</si>
  <si>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</si>
  <si>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</si>
  <si>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</si>
  <si>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</si>
  <si>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</si>
  <si>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</si>
  <si>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</si>
  <si>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</si>
  <si>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</si>
  <si>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</si>
  <si>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</si>
  <si>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</si>
  <si>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</si>
  <si>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Dialga-Origin</t>
  </si>
  <si>
    <t>Palkia-Origin</t>
  </si>
  <si>
    <t>Basculin-White-Striped</t>
  </si>
  <si>
    <t>Basculegion-Female</t>
  </si>
  <si>
    <t>Enamorus-Therian</t>
  </si>
  <si>
    <t>Tauros-Paldea-Combat-Breed</t>
  </si>
  <si>
    <t>Tauros-Paldea-Blaze-Breed</t>
  </si>
  <si>
    <t>Tauros-Paldea-Aqua-Breed</t>
  </si>
  <si>
    <t>Wooper-Paldea</t>
  </si>
  <si>
    <t>Oinkologne-Female</t>
  </si>
  <si>
    <t>Dudunsparce-Three-Segment</t>
  </si>
  <si>
    <t>Palafin-Hero</t>
  </si>
  <si>
    <t>Maushold-Family-Of-Three</t>
  </si>
  <si>
    <t>Tatsugiri-Droopy</t>
  </si>
  <si>
    <t>Tatsugiri-Stretchy</t>
  </si>
  <si>
    <t>Squawkabilly-Blue-Plumage</t>
  </si>
  <si>
    <t>Squawkabilly-Yellow-Plumage</t>
  </si>
  <si>
    <t>Squawkabilly-White-Plumage</t>
  </si>
  <si>
    <t>Gimmighoul-Roaming</t>
  </si>
  <si>
    <t>Koraidon-Limited-Build</t>
  </si>
  <si>
    <t>TODO: koraidon-limited-build (image not found)</t>
  </si>
  <si>
    <t>Koraidon-Sprinting-Build</t>
  </si>
  <si>
    <t>TODO: koraidon-sprinting-build (image not found)</t>
  </si>
  <si>
    <t>Koraidon-Swimming-Build</t>
  </si>
  <si>
    <t>TODO: koraidon-swimming-build (image not found)</t>
  </si>
  <si>
    <t>Koraidon-Gliding-Build</t>
  </si>
  <si>
    <t>TODO: koraidon-gliding-build (image not found)</t>
  </si>
  <si>
    <t>Miraidon-Low-Power-Mode</t>
  </si>
  <si>
    <t>TODO: miraidon-low-power-mode (image not found)</t>
  </si>
  <si>
    <t>Miraidon-Drive-Mode</t>
  </si>
  <si>
    <t>TODO: miraidon-drive-mode (image not found)</t>
  </si>
  <si>
    <t>Miraidon-Aquatic-Mode</t>
  </si>
  <si>
    <t>TODO: miraidon-aquatic-mode (image not found)</t>
  </si>
  <si>
    <t>Miraidon-Glide-Mode</t>
  </si>
  <si>
    <t>TODO: miraidon-glide-mode (image not found)</t>
  </si>
  <si>
    <t>Species 1</t>
  </si>
  <si>
    <t>TODO: nidoranf (image not found)</t>
  </si>
  <si>
    <t>Species 2</t>
  </si>
  <si>
    <t>TODO: nidoranm (image not found)</t>
  </si>
  <si>
    <t>Species 3</t>
  </si>
  <si>
    <t>Species 4</t>
  </si>
  <si>
    <t>Species 5</t>
  </si>
  <si>
    <t>TODO: mrmime (image not found)</t>
  </si>
  <si>
    <t>Species 6</t>
  </si>
  <si>
    <t>Species 7</t>
  </si>
  <si>
    <t>Species 8</t>
  </si>
  <si>
    <t>Species 9</t>
  </si>
  <si>
    <t>TODO: hooh (image not found)</t>
  </si>
  <si>
    <t>Species 10</t>
  </si>
  <si>
    <t>Species 11</t>
  </si>
  <si>
    <t>Species 12</t>
  </si>
  <si>
    <t>Species 13</t>
  </si>
  <si>
    <t>TODO: deoxys (image not found)</t>
  </si>
  <si>
    <t>Species 14</t>
  </si>
  <si>
    <t>TODO: wormadam (image not found)</t>
  </si>
  <si>
    <t>Species 15</t>
  </si>
  <si>
    <t>TODO: mimejr (image not found)</t>
  </si>
  <si>
    <t>Species 16</t>
  </si>
  <si>
    <t>TODO: porygonz (image not found)</t>
  </si>
  <si>
    <t>Species 17</t>
  </si>
  <si>
    <t>TODO: giratina (image not found)</t>
  </si>
  <si>
    <t>TODO: shaymin (image not found)</t>
  </si>
  <si>
    <t>Species 18</t>
  </si>
  <si>
    <t>Species 19</t>
  </si>
  <si>
    <t>TODO: basculin (image not found)</t>
  </si>
  <si>
    <t>TODO: darmanitan (image not found)</t>
  </si>
  <si>
    <t>Species 20</t>
  </si>
  <si>
    <t>Species 21</t>
  </si>
  <si>
    <t>Species 22</t>
  </si>
  <si>
    <t>TODO: tornadus (image not found)</t>
  </si>
  <si>
    <t>TODO: thundurus (image not found)</t>
  </si>
  <si>
    <t>TODO: landorus (image not found)</t>
  </si>
  <si>
    <t>TODO: keldeo (image not found)</t>
  </si>
  <si>
    <t>TODO: meloetta (image not found)</t>
  </si>
  <si>
    <t>Species 23</t>
  </si>
  <si>
    <t>TODO: meowstic (image not found)</t>
  </si>
  <si>
    <t>TODO: aegislash (image not found)</t>
  </si>
  <si>
    <t>Species 24</t>
  </si>
  <si>
    <t>TODO: pumpkaboo (image not found)</t>
  </si>
  <si>
    <t>TODO: gourgeist (image not found)</t>
  </si>
  <si>
    <t>TODO: zygarde (image not found)</t>
  </si>
  <si>
    <t>Species 25</t>
  </si>
  <si>
    <t>TODO: oricorio (image not found)</t>
  </si>
  <si>
    <t>TODO: lycanroc (image not found)</t>
  </si>
  <si>
    <t>TODO: wishiwashi (image not found)</t>
  </si>
  <si>
    <t>Species 26</t>
  </si>
  <si>
    <t>TODO: typenull (image not found)</t>
  </si>
  <si>
    <t>TODO: mimikyu (image not found)</t>
  </si>
  <si>
    <t>Species 27</t>
  </si>
  <si>
    <t>TODO: jangmoo (image not found)</t>
  </si>
  <si>
    <t>TODO: hakamoo (image not found)</t>
  </si>
  <si>
    <t>TODO: kommoo (image not found)</t>
  </si>
  <si>
    <t>TODO: tapukoko (image not found)</t>
  </si>
  <si>
    <t>TODO: tapulele (image not found)</t>
  </si>
  <si>
    <t>TODO: tapubulu (image not found)</t>
  </si>
  <si>
    <t>TODO: tapufini (image not found)</t>
  </si>
  <si>
    <t>Species 28</t>
  </si>
  <si>
    <t>Species 29</t>
  </si>
  <si>
    <t>TODO: toxtricity (image not found)</t>
  </si>
  <si>
    <t>TODO: mrrime (image not found)</t>
  </si>
  <si>
    <t>Species 30</t>
  </si>
  <si>
    <t>TODO: eiscue (image not found)</t>
  </si>
  <si>
    <t>TODO: indeedee (image not found)</t>
  </si>
  <si>
    <t>TODO: morpeko (image not found)</t>
  </si>
  <si>
    <t>TODO: urshifu (image not found)</t>
  </si>
  <si>
    <t>Species 31</t>
  </si>
  <si>
    <t>TODO: basculegion (image not found)</t>
  </si>
  <si>
    <t>TODO: enamorus (image not found)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</si>
  <si>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</si>
  <si>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</si>
  <si>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</si>
  <si>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</si>
  <si>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</si>
  <si>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</si>
  <si>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</si>
  <si>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</si>
  <si>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</si>
  <si>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</si>
  <si>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</si>
  <si>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</si>
  <si>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</si>
  <si>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</si>
  <si>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</si>
  <si>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</si>
  <si>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</si>
  <si>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</si>
  <si>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</si>
  <si>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</si>
  <si>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</si>
  <si>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</si>
  <si>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</si>
  <si>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</si>
  <si>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</si>
  <si>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</si>
  <si>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</si>
  <si>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</si>
  <si>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</si>
  <si>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</si>
  <si>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</si>
  <si>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</si>
  <si>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</si>
  <si>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</si>
  <si>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</si>
  <si>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</si>
  <si>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</si>
  <si>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</si>
  <si>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</si>
  <si>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</si>
  <si>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</si>
  <si>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</si>
  <si>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</si>
  <si>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</si>
  <si>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</si>
  <si>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</si>
  <si>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</si>
  <si>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</si>
  <si>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</si>
  <si>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</si>
  <si>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</si>
  <si>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</si>
  <si>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</si>
  <si>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</si>
  <si>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</si>
  <si>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</si>
  <si>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</si>
  <si>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</si>
  <si>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</si>
  <si>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</si>
  <si>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</si>
  <si>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</si>
  <si>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</si>
  <si>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</si>
  <si>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</si>
  <si>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</si>
  <si>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</si>
  <si>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</si>
  <si>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</si>
  <si>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</si>
  <si>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</si>
  <si>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</si>
  <si>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</si>
  <si>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</si>
  <si>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</si>
  <si>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</si>
  <si>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</si>
  <si>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</si>
  <si>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</si>
  <si>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</si>
  <si>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</si>
  <si>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</si>
  <si>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</si>
  <si>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</si>
  <si>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</si>
  <si>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</si>
  <si>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</si>
  <si>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</si>
  <si>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</si>
  <si>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</si>
  <si>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</si>
  <si>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</si>
  <si>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</si>
  <si>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</si>
  <si>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</si>
  <si>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</si>
  <si>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</si>
  <si>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</si>
  <si>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</si>
  <si>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</si>
  <si>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</si>
  <si>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</si>
  <si>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</si>
  <si>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</si>
  <si>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</si>
  <si>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</si>
  <si>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</si>
  <si>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</si>
  <si>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</si>
  <si>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</si>
  <si>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</si>
  <si>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</si>
  <si>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</si>
  <si>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</si>
  <si>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</si>
  <si>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</si>
  <si>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unown-b (image not found)</t>
  </si>
  <si>
    <t>TODO: unown-c (image not found)</t>
  </si>
  <si>
    <t>TODO: unown-d (image not found)</t>
  </si>
  <si>
    <t>TODO: unown-e (image not found)</t>
  </si>
  <si>
    <t>TODO: unown-f (image not found)</t>
  </si>
  <si>
    <t>TODO: unown-g (image not found)</t>
  </si>
  <si>
    <t>TODO: unown-h (image not found)</t>
  </si>
  <si>
    <t>TODO: unown-i (image not found)</t>
  </si>
  <si>
    <t>TODO: unown-j (image not found)</t>
  </si>
  <si>
    <t>TODO: unown-k (image not found)</t>
  </si>
  <si>
    <t>TODO: unown-l (image not found)</t>
  </si>
  <si>
    <t>TODO: unown-m (image not found)</t>
  </si>
  <si>
    <t>TODO: unown-n (image not found)</t>
  </si>
  <si>
    <t>TODO: unown-o (image not found)</t>
  </si>
  <si>
    <t>TODO: unown-p (image not found)</t>
  </si>
  <si>
    <t>TODO: unown-q (image not found)</t>
  </si>
  <si>
    <t>TODO: unown-r (image not found)</t>
  </si>
  <si>
    <t>TODO: unown-s (image not found)</t>
  </si>
  <si>
    <t>TODO: unown-t (image not found)</t>
  </si>
  <si>
    <t>TODO: unown-u (image not found)</t>
  </si>
  <si>
    <t>TODO: unown-v (image not found)</t>
  </si>
  <si>
    <t>TODO: unown-w (image not found)</t>
  </si>
  <si>
    <t>TODO: unown-x (image not found)</t>
  </si>
  <si>
    <t>TODO: unown-y (image not found)</t>
  </si>
  <si>
    <t>TODO: unown-z (image not found)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</si>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</sst>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82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>
        <f>IMAGE("https://raw.githubusercontent.com/stautonico/pokemon-home-pokedex/main/sprites/nidoran-f.png", 2)</f>
        <v>0</v>
      </c>
    </row>
    <row r="31" spans="1:4" ht="72" customHeight="1">
      <c r="A31" s="1" t="s">
        <v>4</v>
      </c>
      <c r="B31" s="1">
        <v>30</v>
      </c>
      <c r="C31" s="1" t="s">
        <v>34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35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36</v>
      </c>
      <c r="D33">
        <f>IMAGE("https://raw.githubusercontent.com/stautonico/pokemon-home-pokedex/main/sprites/nidoran-m.png", 2)</f>
        <v>0</v>
      </c>
    </row>
    <row r="34" spans="1:4" ht="72" customHeight="1">
      <c r="A34" s="1" t="s">
        <v>4</v>
      </c>
      <c r="B34" s="1">
        <v>33</v>
      </c>
      <c r="C34" s="1" t="s">
        <v>37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38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39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40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41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42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43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44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45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46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47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48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49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50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51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52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53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54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55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56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57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58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59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60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61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62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63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64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65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66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67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68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69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70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71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72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73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74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75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76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77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78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79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80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81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82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83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84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85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86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87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88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89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90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91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92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93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94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95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96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97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98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99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100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101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102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103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104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105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106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107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108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109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110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111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112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113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114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115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116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117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118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119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120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121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122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123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124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125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126</v>
      </c>
      <c r="D123">
        <f>IMAGE("https://raw.githubusercontent.com/stautonico/pokemon-home-pokedex/main/sprites/mr-mime.png", 2)</f>
        <v>0</v>
      </c>
    </row>
    <row r="124" spans="1:4" ht="72" customHeight="1">
      <c r="A124" s="1" t="s">
        <v>4</v>
      </c>
      <c r="B124" s="1">
        <v>123</v>
      </c>
      <c r="C124" s="1" t="s">
        <v>127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128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129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130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131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132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133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134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135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136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137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138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139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140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141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142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143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144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145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146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147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148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149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150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151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152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153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154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155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156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157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158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159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160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161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162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163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164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165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166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167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168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169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170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171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172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173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174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175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176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177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178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179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180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181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182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183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184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185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186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187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188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189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190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191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192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193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194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195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196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197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198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199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200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201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202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203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204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205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206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207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208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209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210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211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212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213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214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215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216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217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218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219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220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221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222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223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224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225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226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227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228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229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230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231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232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233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234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235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236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237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238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239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240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241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242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243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244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245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246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247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248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249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250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251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252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253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254</v>
      </c>
      <c r="D251">
        <f>IMAGE("https://raw.githubusercontent.com/stautonico/pokemon-home-pokedex/main/sprites/ho-oh.png", 2)</f>
        <v>0</v>
      </c>
    </row>
    <row r="252" spans="1:4" ht="72" customHeight="1">
      <c r="A252" s="1" t="s">
        <v>4</v>
      </c>
      <c r="B252" s="1">
        <v>251</v>
      </c>
      <c r="C252" s="1" t="s">
        <v>255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256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257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258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259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260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261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262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263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264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265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266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267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268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269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270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271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272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273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274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275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276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277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278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279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280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281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282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283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284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285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286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287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288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289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290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291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292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293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294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295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296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297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298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299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300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301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302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303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304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305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306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307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308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309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310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311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312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313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314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315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316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317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318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319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320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321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322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323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324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325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326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327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328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329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330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331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332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333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334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335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336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337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338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339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340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341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342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343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344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345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346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347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348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349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350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351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352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353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354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355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356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357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358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359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360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361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362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363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364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365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366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367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368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369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370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371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372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373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374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375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376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377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378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379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380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381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382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383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384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385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386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387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388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389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390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391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392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393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394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395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396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397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398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399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400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401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402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403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404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405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406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407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408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409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410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411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412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413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414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415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416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417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418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419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420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421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422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423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424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425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426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427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428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429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430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431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432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433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434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435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436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437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438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439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440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441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442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443</v>
      </c>
      <c r="D440">
        <f>IMAGE("https://raw.githubusercontent.com/stautonico/pokemon-home-pokedex/main/sprites/mime-jr.png", 2)</f>
        <v>0</v>
      </c>
    </row>
    <row r="441" spans="1:4" ht="72" customHeight="1">
      <c r="A441" s="1" t="s">
        <v>4</v>
      </c>
      <c r="B441" s="1">
        <v>440</v>
      </c>
      <c r="C441" s="1" t="s">
        <v>444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445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446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447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448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449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450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451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452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453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454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455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456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457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458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459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460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461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462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463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464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465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466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467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468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469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470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471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472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473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474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475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476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477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478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479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480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481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482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483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484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485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486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487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488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489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490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491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492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493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494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495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496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497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498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499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500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501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502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503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504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505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506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507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508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509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510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511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512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513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514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515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516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517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518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519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520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521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522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523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524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525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526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527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528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529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530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531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532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533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534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535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536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537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538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539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540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541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542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543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544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545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546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547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548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549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550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551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552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553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554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555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556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557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558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559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560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561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562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563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564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565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566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567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568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569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570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571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572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573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574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575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576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577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578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579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580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581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582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583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584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585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586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587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588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589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590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591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592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593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594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595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596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597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598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599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600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601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602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603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604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605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606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607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608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609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610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611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612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613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614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615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616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617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618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619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620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621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622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623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624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625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626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627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628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629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630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631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632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633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634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635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636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637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638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639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640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641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642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643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644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645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646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647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648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649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650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651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652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653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654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655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656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657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658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659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660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661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662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663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664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665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666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667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668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669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670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671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672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673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674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675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676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677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678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679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680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681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682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683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684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685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686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687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688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689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690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691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692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693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694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695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696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697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698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699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700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701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702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703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704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705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706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707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708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709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710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711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712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713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714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715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716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717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718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719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720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721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722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723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724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725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726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727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728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729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730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731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732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733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734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735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736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737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738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739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740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741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742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743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744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741</v>
      </c>
      <c r="C742" s="1" t="s">
        <v>745</v>
      </c>
      <c r="D742">
        <f>IMAGE("https://raw.githubusercontent.com/stautonico/pokemon-home-pokedex/main/sprites/oricorio-baile.png", 2)</f>
        <v>0</v>
      </c>
    </row>
    <row r="743" spans="1:4" ht="72" customHeight="1">
      <c r="A743" s="1" t="s">
        <v>4</v>
      </c>
      <c r="B743" s="1">
        <v>742</v>
      </c>
      <c r="C743" s="1" t="s">
        <v>746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747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748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749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750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751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752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753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754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755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756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757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758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759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760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761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762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763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764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765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766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767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768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769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770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771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772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773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774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775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776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777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774</v>
      </c>
      <c r="C775" s="1" t="s">
        <v>778</v>
      </c>
      <c r="D775">
        <f>IMAGE("https://raw.githubusercontent.com/stautonico/pokemon-home-pokedex/main/sprites/minior-red-meteor.png", 2)</f>
        <v>0</v>
      </c>
    </row>
    <row r="776" spans="1:4" ht="72" customHeight="1">
      <c r="A776" s="1" t="s">
        <v>4</v>
      </c>
      <c r="B776" s="1">
        <v>775</v>
      </c>
      <c r="C776" s="1" t="s">
        <v>779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780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781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782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783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784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785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786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4</v>
      </c>
      <c r="B784" s="1">
        <v>783</v>
      </c>
      <c r="C784" s="1" t="s">
        <v>787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788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4</v>
      </c>
      <c r="B786" s="1">
        <v>785</v>
      </c>
      <c r="C786" s="1" t="s">
        <v>789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4</v>
      </c>
      <c r="B787" s="1">
        <v>786</v>
      </c>
      <c r="C787" s="1" t="s">
        <v>790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4</v>
      </c>
      <c r="B788" s="1">
        <v>787</v>
      </c>
      <c r="C788" s="1" t="s">
        <v>791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4</v>
      </c>
      <c r="B789" s="1">
        <v>788</v>
      </c>
      <c r="C789" s="1" t="s">
        <v>792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4</v>
      </c>
      <c r="B790" s="1">
        <v>789</v>
      </c>
      <c r="C790" s="1" t="s">
        <v>793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794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795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796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797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798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799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800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801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802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803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804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805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806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807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808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809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810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811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812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813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814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815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816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817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818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819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820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821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822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823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824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825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826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827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828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829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830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831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832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833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834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835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836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837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838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839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840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841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842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843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844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845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846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847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848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849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850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851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852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853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854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855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856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857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858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859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860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861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862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863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864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865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866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867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868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869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870</v>
      </c>
      <c r="D867">
        <f>IMAGE("https://raw.githubusercontent.com/stautonico/pokemon-home-pokedex/main/sprites/mr-rime.png", 2)</f>
        <v>0</v>
      </c>
    </row>
    <row r="868" spans="1:4" ht="72" customHeight="1">
      <c r="A868" s="1" t="s">
        <v>4</v>
      </c>
      <c r="B868" s="1">
        <v>867</v>
      </c>
      <c r="C868" s="1" t="s">
        <v>871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872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873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874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875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876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877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878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879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880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881</v>
      </c>
      <c r="D878">
        <f>IMAGE("https://raw.githubusercontent.com/stautonico/pokemon-home-pokedex/main/sprites/morpeko-full-belly.png", 2)</f>
        <v>0</v>
      </c>
    </row>
    <row r="879" spans="1:4" ht="72" customHeight="1">
      <c r="A879" s="1" t="s">
        <v>4</v>
      </c>
      <c r="B879" s="1">
        <v>878</v>
      </c>
      <c r="C879" s="1" t="s">
        <v>882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883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884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885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886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887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888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889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890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891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892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893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894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895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896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897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898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899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900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901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902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903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904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905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906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907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908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909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906</v>
      </c>
      <c r="C907" s="1" t="s">
        <v>910</v>
      </c>
      <c r="D907">
        <f>IMAGE("https://raw.githubusercontent.com/stautonico/pokemon-home-pokedex/main/sprites/sprigatito.png", 2)</f>
        <v>0</v>
      </c>
    </row>
    <row r="908" spans="1:4" ht="72" customHeight="1">
      <c r="A908" s="1" t="s">
        <v>4</v>
      </c>
      <c r="B908" s="1">
        <v>907</v>
      </c>
      <c r="C908" s="1" t="s">
        <v>911</v>
      </c>
      <c r="D908">
        <f>IMAGE("https://raw.githubusercontent.com/stautonico/pokemon-home-pokedex/main/sprites/floragato.png", 2)</f>
        <v>0</v>
      </c>
    </row>
    <row r="909" spans="1:4" ht="72" customHeight="1">
      <c r="A909" s="1" t="s">
        <v>4</v>
      </c>
      <c r="B909" s="1">
        <v>908</v>
      </c>
      <c r="C909" s="1" t="s">
        <v>912</v>
      </c>
      <c r="D909">
        <f>IMAGE("https://raw.githubusercontent.com/stautonico/pokemon-home-pokedex/main/sprites/meowscarada.png", 2)</f>
        <v>0</v>
      </c>
    </row>
    <row r="910" spans="1:4" ht="72" customHeight="1">
      <c r="A910" s="1" t="s">
        <v>4</v>
      </c>
      <c r="B910" s="1">
        <v>909</v>
      </c>
      <c r="C910" s="1" t="s">
        <v>913</v>
      </c>
      <c r="D910">
        <f>IMAGE("https://raw.githubusercontent.com/stautonico/pokemon-home-pokedex/main/sprites/fuecoco.png", 2)</f>
        <v>0</v>
      </c>
    </row>
    <row r="911" spans="1:4" ht="72" customHeight="1">
      <c r="A911" s="1" t="s">
        <v>4</v>
      </c>
      <c r="B911" s="1">
        <v>910</v>
      </c>
      <c r="C911" s="1" t="s">
        <v>914</v>
      </c>
      <c r="D911">
        <f>IMAGE("https://raw.githubusercontent.com/stautonico/pokemon-home-pokedex/main/sprites/crocalor.png", 2)</f>
        <v>0</v>
      </c>
    </row>
    <row r="912" spans="1:4" ht="72" customHeight="1">
      <c r="A912" s="1" t="s">
        <v>4</v>
      </c>
      <c r="B912" s="1">
        <v>911</v>
      </c>
      <c r="C912" s="1" t="s">
        <v>915</v>
      </c>
      <c r="D912">
        <f>IMAGE("https://raw.githubusercontent.com/stautonico/pokemon-home-pokedex/main/sprites/skeledirge.png", 2)</f>
        <v>0</v>
      </c>
    </row>
    <row r="913" spans="1:4" ht="72" customHeight="1">
      <c r="A913" s="1" t="s">
        <v>4</v>
      </c>
      <c r="B913" s="1">
        <v>912</v>
      </c>
      <c r="C913" s="1" t="s">
        <v>916</v>
      </c>
      <c r="D913">
        <f>IMAGE("https://raw.githubusercontent.com/stautonico/pokemon-home-pokedex/main/sprites/quaxly.png", 2)</f>
        <v>0</v>
      </c>
    </row>
    <row r="914" spans="1:4" ht="72" customHeight="1">
      <c r="A914" s="1" t="s">
        <v>4</v>
      </c>
      <c r="B914" s="1">
        <v>913</v>
      </c>
      <c r="C914" s="1" t="s">
        <v>917</v>
      </c>
      <c r="D914">
        <f>IMAGE("https://raw.githubusercontent.com/stautonico/pokemon-home-pokedex/main/sprites/quaxwell.png", 2)</f>
        <v>0</v>
      </c>
    </row>
    <row r="915" spans="1:4" ht="72" customHeight="1">
      <c r="A915" s="1" t="s">
        <v>4</v>
      </c>
      <c r="B915" s="1">
        <v>914</v>
      </c>
      <c r="C915" s="1" t="s">
        <v>918</v>
      </c>
      <c r="D915">
        <f>IMAGE("https://raw.githubusercontent.com/stautonico/pokemon-home-pokedex/main/sprites/quaquaval.png", 2)</f>
        <v>0</v>
      </c>
    </row>
    <row r="916" spans="1:4" ht="72" customHeight="1">
      <c r="A916" s="1" t="s">
        <v>4</v>
      </c>
      <c r="B916" s="1">
        <v>915</v>
      </c>
      <c r="C916" s="1" t="s">
        <v>919</v>
      </c>
      <c r="D916">
        <f>IMAGE("https://raw.githubusercontent.com/stautonico/pokemon-home-pokedex/main/sprites/lechonk.png", 2)</f>
        <v>0</v>
      </c>
    </row>
    <row r="917" spans="1:4" ht="72" customHeight="1">
      <c r="A917" s="1" t="s">
        <v>4</v>
      </c>
      <c r="B917" s="1">
        <v>916</v>
      </c>
      <c r="C917" s="1" t="s">
        <v>920</v>
      </c>
      <c r="D917">
        <f>IMAGE("https://raw.githubusercontent.com/stautonico/pokemon-home-pokedex/main/sprites/oinkologne.png", 2)</f>
        <v>0</v>
      </c>
    </row>
    <row r="918" spans="1:4" ht="72" customHeight="1">
      <c r="A918" s="1" t="s">
        <v>4</v>
      </c>
      <c r="B918" s="1">
        <v>917</v>
      </c>
      <c r="C918" s="1" t="s">
        <v>921</v>
      </c>
      <c r="D918">
        <f>IMAGE("https://raw.githubusercontent.com/stautonico/pokemon-home-pokedex/main/sprites/tarountula.png", 2)</f>
        <v>0</v>
      </c>
    </row>
    <row r="919" spans="1:4" ht="72" customHeight="1">
      <c r="A919" s="1" t="s">
        <v>4</v>
      </c>
      <c r="B919" s="1">
        <v>918</v>
      </c>
      <c r="C919" s="1" t="s">
        <v>922</v>
      </c>
      <c r="D919">
        <f>IMAGE("https://raw.githubusercontent.com/stautonico/pokemon-home-pokedex/main/sprites/spidops.png", 2)</f>
        <v>0</v>
      </c>
    </row>
    <row r="920" spans="1:4" ht="72" customHeight="1">
      <c r="A920" s="1" t="s">
        <v>4</v>
      </c>
      <c r="B920" s="1">
        <v>919</v>
      </c>
      <c r="C920" s="1" t="s">
        <v>923</v>
      </c>
      <c r="D920">
        <f>IMAGE("https://raw.githubusercontent.com/stautonico/pokemon-home-pokedex/main/sprites/nymble.png", 2)</f>
        <v>0</v>
      </c>
    </row>
    <row r="921" spans="1:4" ht="72" customHeight="1">
      <c r="A921" s="1" t="s">
        <v>4</v>
      </c>
      <c r="B921" s="1">
        <v>920</v>
      </c>
      <c r="C921" s="1" t="s">
        <v>924</v>
      </c>
      <c r="D921">
        <f>IMAGE("https://raw.githubusercontent.com/stautonico/pokemon-home-pokedex/main/sprites/lokix.png", 2)</f>
        <v>0</v>
      </c>
    </row>
    <row r="922" spans="1:4" ht="72" customHeight="1">
      <c r="A922" s="1" t="s">
        <v>4</v>
      </c>
      <c r="B922" s="1">
        <v>921</v>
      </c>
      <c r="C922" s="1" t="s">
        <v>925</v>
      </c>
      <c r="D922">
        <f>IMAGE("https://raw.githubusercontent.com/stautonico/pokemon-home-pokedex/main/sprites/pawmi.png", 2)</f>
        <v>0</v>
      </c>
    </row>
    <row r="923" spans="1:4" ht="72" customHeight="1">
      <c r="A923" s="1" t="s">
        <v>4</v>
      </c>
      <c r="B923" s="1">
        <v>922</v>
      </c>
      <c r="C923" s="1" t="s">
        <v>926</v>
      </c>
      <c r="D923">
        <f>IMAGE("https://raw.githubusercontent.com/stautonico/pokemon-home-pokedex/main/sprites/pawmo.png", 2)</f>
        <v>0</v>
      </c>
    </row>
    <row r="924" spans="1:4" ht="72" customHeight="1">
      <c r="A924" s="1" t="s">
        <v>4</v>
      </c>
      <c r="B924" s="1">
        <v>923</v>
      </c>
      <c r="C924" s="1" t="s">
        <v>927</v>
      </c>
      <c r="D924">
        <f>IMAGE("https://raw.githubusercontent.com/stautonico/pokemon-home-pokedex/main/sprites/pawmot.png", 2)</f>
        <v>0</v>
      </c>
    </row>
    <row r="925" spans="1:4" ht="72" customHeight="1">
      <c r="A925" s="1" t="s">
        <v>4</v>
      </c>
      <c r="B925" s="1">
        <v>924</v>
      </c>
      <c r="C925" s="1" t="s">
        <v>928</v>
      </c>
      <c r="D925">
        <f>IMAGE("https://raw.githubusercontent.com/stautonico/pokemon-home-pokedex/main/sprites/tandemaus.png", 2)</f>
        <v>0</v>
      </c>
    </row>
    <row r="926" spans="1:4" ht="72" customHeight="1">
      <c r="A926" s="1" t="s">
        <v>4</v>
      </c>
      <c r="B926" s="1">
        <v>925</v>
      </c>
      <c r="C926" s="1" t="s">
        <v>929</v>
      </c>
      <c r="D926">
        <f>IMAGE("https://raw.githubusercontent.com/stautonico/pokemon-home-pokedex/main/sprites/maushold.png", 2)</f>
        <v>0</v>
      </c>
    </row>
    <row r="927" spans="1:4" ht="72" customHeight="1">
      <c r="A927" s="1" t="s">
        <v>4</v>
      </c>
      <c r="B927" s="1">
        <v>926</v>
      </c>
      <c r="C927" s="1" t="s">
        <v>930</v>
      </c>
      <c r="D927">
        <f>IMAGE("https://raw.githubusercontent.com/stautonico/pokemon-home-pokedex/main/sprites/fidough.png", 2)</f>
        <v>0</v>
      </c>
    </row>
    <row r="928" spans="1:4" ht="72" customHeight="1">
      <c r="A928" s="1" t="s">
        <v>4</v>
      </c>
      <c r="B928" s="1">
        <v>927</v>
      </c>
      <c r="C928" s="1" t="s">
        <v>931</v>
      </c>
      <c r="D928">
        <f>IMAGE("https://raw.githubusercontent.com/stautonico/pokemon-home-pokedex/main/sprites/dachsbun.png", 2)</f>
        <v>0</v>
      </c>
    </row>
    <row r="929" spans="1:4" ht="72" customHeight="1">
      <c r="A929" s="1" t="s">
        <v>4</v>
      </c>
      <c r="B929" s="1">
        <v>928</v>
      </c>
      <c r="C929" s="1" t="s">
        <v>932</v>
      </c>
      <c r="D929">
        <f>IMAGE("https://raw.githubusercontent.com/stautonico/pokemon-home-pokedex/main/sprites/smoliv.png", 2)</f>
        <v>0</v>
      </c>
    </row>
    <row r="930" spans="1:4" ht="72" customHeight="1">
      <c r="A930" s="1" t="s">
        <v>4</v>
      </c>
      <c r="B930" s="1">
        <v>929</v>
      </c>
      <c r="C930" s="1" t="s">
        <v>933</v>
      </c>
      <c r="D930">
        <f>IMAGE("https://raw.githubusercontent.com/stautonico/pokemon-home-pokedex/main/sprites/dolliv.png", 2)</f>
        <v>0</v>
      </c>
    </row>
    <row r="931" spans="1:4" ht="72" customHeight="1">
      <c r="A931" s="1" t="s">
        <v>4</v>
      </c>
      <c r="B931" s="1">
        <v>930</v>
      </c>
      <c r="C931" s="1" t="s">
        <v>934</v>
      </c>
      <c r="D931">
        <f>IMAGE("https://raw.githubusercontent.com/stautonico/pokemon-home-pokedex/main/sprites/arboliva.png", 2)</f>
        <v>0</v>
      </c>
    </row>
    <row r="932" spans="1:4" ht="72" customHeight="1">
      <c r="A932" s="1" t="s">
        <v>4</v>
      </c>
      <c r="B932" s="1">
        <v>931</v>
      </c>
      <c r="C932" s="1" t="s">
        <v>935</v>
      </c>
      <c r="D932">
        <f>IMAGE("https://raw.githubusercontent.com/stautonico/pokemon-home-pokedex/main/sprites/squawkabilly.png", 2)</f>
        <v>0</v>
      </c>
    </row>
    <row r="933" spans="1:4" ht="72" customHeight="1">
      <c r="A933" s="1" t="s">
        <v>4</v>
      </c>
      <c r="B933" s="1">
        <v>932</v>
      </c>
      <c r="C933" s="1" t="s">
        <v>936</v>
      </c>
      <c r="D933">
        <f>IMAGE("https://raw.githubusercontent.com/stautonico/pokemon-home-pokedex/main/sprites/nacli.png", 2)</f>
        <v>0</v>
      </c>
    </row>
    <row r="934" spans="1:4" ht="72" customHeight="1">
      <c r="A934" s="1" t="s">
        <v>4</v>
      </c>
      <c r="B934" s="1">
        <v>933</v>
      </c>
      <c r="C934" s="1" t="s">
        <v>937</v>
      </c>
      <c r="D934">
        <f>IMAGE("https://raw.githubusercontent.com/stautonico/pokemon-home-pokedex/main/sprites/naclstack.png", 2)</f>
        <v>0</v>
      </c>
    </row>
    <row r="935" spans="1:4" ht="72" customHeight="1">
      <c r="A935" s="1" t="s">
        <v>4</v>
      </c>
      <c r="B935" s="1">
        <v>934</v>
      </c>
      <c r="C935" s="1" t="s">
        <v>938</v>
      </c>
      <c r="D935">
        <f>IMAGE("https://raw.githubusercontent.com/stautonico/pokemon-home-pokedex/main/sprites/garganacl.png", 2)</f>
        <v>0</v>
      </c>
    </row>
    <row r="936" spans="1:4" ht="72" customHeight="1">
      <c r="A936" s="1" t="s">
        <v>4</v>
      </c>
      <c r="B936" s="1">
        <v>935</v>
      </c>
      <c r="C936" s="1" t="s">
        <v>939</v>
      </c>
      <c r="D936">
        <f>IMAGE("https://raw.githubusercontent.com/stautonico/pokemon-home-pokedex/main/sprites/charcadet.png", 2)</f>
        <v>0</v>
      </c>
    </row>
    <row r="937" spans="1:4" ht="72" customHeight="1">
      <c r="A937" s="1" t="s">
        <v>4</v>
      </c>
      <c r="B937" s="1">
        <v>936</v>
      </c>
      <c r="C937" s="1" t="s">
        <v>940</v>
      </c>
      <c r="D937">
        <f>IMAGE("https://raw.githubusercontent.com/stautonico/pokemon-home-pokedex/main/sprites/armarouge.png", 2)</f>
        <v>0</v>
      </c>
    </row>
    <row r="938" spans="1:4" ht="72" customHeight="1">
      <c r="A938" s="1" t="s">
        <v>4</v>
      </c>
      <c r="B938" s="1">
        <v>937</v>
      </c>
      <c r="C938" s="1" t="s">
        <v>941</v>
      </c>
      <c r="D938">
        <f>IMAGE("https://raw.githubusercontent.com/stautonico/pokemon-home-pokedex/main/sprites/ceruledge.png", 2)</f>
        <v>0</v>
      </c>
    </row>
    <row r="939" spans="1:4" ht="72" customHeight="1">
      <c r="A939" s="1" t="s">
        <v>4</v>
      </c>
      <c r="B939" s="1">
        <v>938</v>
      </c>
      <c r="C939" s="1" t="s">
        <v>942</v>
      </c>
      <c r="D939">
        <f>IMAGE("https://raw.githubusercontent.com/stautonico/pokemon-home-pokedex/main/sprites/tadbulb.png", 2)</f>
        <v>0</v>
      </c>
    </row>
    <row r="940" spans="1:4" ht="72" customHeight="1">
      <c r="A940" s="1" t="s">
        <v>4</v>
      </c>
      <c r="B940" s="1">
        <v>939</v>
      </c>
      <c r="C940" s="1" t="s">
        <v>943</v>
      </c>
      <c r="D940">
        <f>IMAGE("https://raw.githubusercontent.com/stautonico/pokemon-home-pokedex/main/sprites/bellibolt.png", 2)</f>
        <v>0</v>
      </c>
    </row>
    <row r="941" spans="1:4" ht="72" customHeight="1">
      <c r="A941" s="1" t="s">
        <v>4</v>
      </c>
      <c r="B941" s="1">
        <v>940</v>
      </c>
      <c r="C941" s="1" t="s">
        <v>944</v>
      </c>
      <c r="D941">
        <f>IMAGE("https://raw.githubusercontent.com/stautonico/pokemon-home-pokedex/main/sprites/wattrel.png", 2)</f>
        <v>0</v>
      </c>
    </row>
    <row r="942" spans="1:4" ht="72" customHeight="1">
      <c r="A942" s="1" t="s">
        <v>4</v>
      </c>
      <c r="B942" s="1">
        <v>941</v>
      </c>
      <c r="C942" s="1" t="s">
        <v>945</v>
      </c>
      <c r="D942">
        <f>IMAGE("https://raw.githubusercontent.com/stautonico/pokemon-home-pokedex/main/sprites/kilowattrel.png", 2)</f>
        <v>0</v>
      </c>
    </row>
    <row r="943" spans="1:4" ht="72" customHeight="1">
      <c r="A943" s="1" t="s">
        <v>4</v>
      </c>
      <c r="B943" s="1">
        <v>942</v>
      </c>
      <c r="C943" s="1" t="s">
        <v>946</v>
      </c>
      <c r="D943">
        <f>IMAGE("https://raw.githubusercontent.com/stautonico/pokemon-home-pokedex/main/sprites/maschiff.png", 2)</f>
        <v>0</v>
      </c>
    </row>
    <row r="944" spans="1:4" ht="72" customHeight="1">
      <c r="A944" s="1" t="s">
        <v>4</v>
      </c>
      <c r="B944" s="1">
        <v>943</v>
      </c>
      <c r="C944" s="1" t="s">
        <v>947</v>
      </c>
      <c r="D944">
        <f>IMAGE("https://raw.githubusercontent.com/stautonico/pokemon-home-pokedex/main/sprites/mabosstiff.png", 2)</f>
        <v>0</v>
      </c>
    </row>
    <row r="945" spans="1:4" ht="72" customHeight="1">
      <c r="A945" s="1" t="s">
        <v>4</v>
      </c>
      <c r="B945" s="1">
        <v>944</v>
      </c>
      <c r="C945" s="1" t="s">
        <v>948</v>
      </c>
      <c r="D945">
        <f>IMAGE("https://raw.githubusercontent.com/stautonico/pokemon-home-pokedex/main/sprites/shroodle.png", 2)</f>
        <v>0</v>
      </c>
    </row>
    <row r="946" spans="1:4" ht="72" customHeight="1">
      <c r="A946" s="1" t="s">
        <v>4</v>
      </c>
      <c r="B946" s="1">
        <v>945</v>
      </c>
      <c r="C946" s="1" t="s">
        <v>949</v>
      </c>
      <c r="D946">
        <f>IMAGE("https://raw.githubusercontent.com/stautonico/pokemon-home-pokedex/main/sprites/grafaiai.png", 2)</f>
        <v>0</v>
      </c>
    </row>
    <row r="947" spans="1:4" ht="72" customHeight="1">
      <c r="A947" s="1" t="s">
        <v>4</v>
      </c>
      <c r="B947" s="1">
        <v>946</v>
      </c>
      <c r="C947" s="1" t="s">
        <v>950</v>
      </c>
      <c r="D947">
        <f>IMAGE("https://raw.githubusercontent.com/stautonico/pokemon-home-pokedex/main/sprites/bramblin.png", 2)</f>
        <v>0</v>
      </c>
    </row>
    <row r="948" spans="1:4" ht="72" customHeight="1">
      <c r="A948" s="1" t="s">
        <v>4</v>
      </c>
      <c r="B948" s="1">
        <v>947</v>
      </c>
      <c r="C948" s="1" t="s">
        <v>951</v>
      </c>
      <c r="D948">
        <f>IMAGE("https://raw.githubusercontent.com/stautonico/pokemon-home-pokedex/main/sprites/brambleghast.png", 2)</f>
        <v>0</v>
      </c>
    </row>
    <row r="949" spans="1:4" ht="72" customHeight="1">
      <c r="A949" s="1" t="s">
        <v>4</v>
      </c>
      <c r="B949" s="1">
        <v>948</v>
      </c>
      <c r="C949" s="1" t="s">
        <v>952</v>
      </c>
      <c r="D949">
        <f>IMAGE("https://raw.githubusercontent.com/stautonico/pokemon-home-pokedex/main/sprites/toedscool.png", 2)</f>
        <v>0</v>
      </c>
    </row>
    <row r="950" spans="1:4" ht="72" customHeight="1">
      <c r="A950" s="1" t="s">
        <v>4</v>
      </c>
      <c r="B950" s="1">
        <v>949</v>
      </c>
      <c r="C950" s="1" t="s">
        <v>953</v>
      </c>
      <c r="D950">
        <f>IMAGE("https://raw.githubusercontent.com/stautonico/pokemon-home-pokedex/main/sprites/toedscruel.png", 2)</f>
        <v>0</v>
      </c>
    </row>
    <row r="951" spans="1:4" ht="72" customHeight="1">
      <c r="A951" s="1" t="s">
        <v>4</v>
      </c>
      <c r="B951" s="1">
        <v>950</v>
      </c>
      <c r="C951" s="1" t="s">
        <v>954</v>
      </c>
      <c r="D951">
        <f>IMAGE("https://raw.githubusercontent.com/stautonico/pokemon-home-pokedex/main/sprites/klawf.png", 2)</f>
        <v>0</v>
      </c>
    </row>
    <row r="952" spans="1:4" ht="72" customHeight="1">
      <c r="A952" s="1" t="s">
        <v>4</v>
      </c>
      <c r="B952" s="1">
        <v>951</v>
      </c>
      <c r="C952" s="1" t="s">
        <v>955</v>
      </c>
      <c r="D952">
        <f>IMAGE("https://raw.githubusercontent.com/stautonico/pokemon-home-pokedex/main/sprites/capsakid.png", 2)</f>
        <v>0</v>
      </c>
    </row>
    <row r="953" spans="1:4" ht="72" customHeight="1">
      <c r="A953" s="1" t="s">
        <v>4</v>
      </c>
      <c r="B953" s="1">
        <v>952</v>
      </c>
      <c r="C953" s="1" t="s">
        <v>956</v>
      </c>
      <c r="D953">
        <f>IMAGE("https://raw.githubusercontent.com/stautonico/pokemon-home-pokedex/main/sprites/scovillain.png", 2)</f>
        <v>0</v>
      </c>
    </row>
    <row r="954" spans="1:4" ht="72" customHeight="1">
      <c r="A954" s="1" t="s">
        <v>4</v>
      </c>
      <c r="B954" s="1">
        <v>953</v>
      </c>
      <c r="C954" s="1" t="s">
        <v>957</v>
      </c>
      <c r="D954">
        <f>IMAGE("https://raw.githubusercontent.com/stautonico/pokemon-home-pokedex/main/sprites/rellor.png", 2)</f>
        <v>0</v>
      </c>
    </row>
    <row r="955" spans="1:4" ht="72" customHeight="1">
      <c r="A955" s="1" t="s">
        <v>4</v>
      </c>
      <c r="B955" s="1">
        <v>954</v>
      </c>
      <c r="C955" s="1" t="s">
        <v>958</v>
      </c>
      <c r="D955">
        <f>IMAGE("https://raw.githubusercontent.com/stautonico/pokemon-home-pokedex/main/sprites/rabsca.png", 2)</f>
        <v>0</v>
      </c>
    </row>
    <row r="956" spans="1:4" ht="72" customHeight="1">
      <c r="A956" s="1" t="s">
        <v>4</v>
      </c>
      <c r="B956" s="1">
        <v>955</v>
      </c>
      <c r="C956" s="1" t="s">
        <v>959</v>
      </c>
      <c r="D956">
        <f>IMAGE("https://raw.githubusercontent.com/stautonico/pokemon-home-pokedex/main/sprites/flittle.png", 2)</f>
        <v>0</v>
      </c>
    </row>
    <row r="957" spans="1:4" ht="72" customHeight="1">
      <c r="A957" s="1" t="s">
        <v>4</v>
      </c>
      <c r="B957" s="1">
        <v>956</v>
      </c>
      <c r="C957" s="1" t="s">
        <v>960</v>
      </c>
      <c r="D957">
        <f>IMAGE("https://raw.githubusercontent.com/stautonico/pokemon-home-pokedex/main/sprites/espathra.png", 2)</f>
        <v>0</v>
      </c>
    </row>
    <row r="958" spans="1:4" ht="72" customHeight="1">
      <c r="A958" s="1" t="s">
        <v>4</v>
      </c>
      <c r="B958" s="1">
        <v>957</v>
      </c>
      <c r="C958" s="1" t="s">
        <v>961</v>
      </c>
      <c r="D958">
        <f>IMAGE("https://raw.githubusercontent.com/stautonico/pokemon-home-pokedex/main/sprites/tinkatink.png", 2)</f>
        <v>0</v>
      </c>
    </row>
    <row r="959" spans="1:4" ht="72" customHeight="1">
      <c r="A959" s="1" t="s">
        <v>4</v>
      </c>
      <c r="B959" s="1">
        <v>958</v>
      </c>
      <c r="C959" s="1" t="s">
        <v>962</v>
      </c>
      <c r="D959">
        <f>IMAGE("https://raw.githubusercontent.com/stautonico/pokemon-home-pokedex/main/sprites/tinkatuff.png", 2)</f>
        <v>0</v>
      </c>
    </row>
    <row r="960" spans="1:4" ht="72" customHeight="1">
      <c r="A960" s="1" t="s">
        <v>4</v>
      </c>
      <c r="B960" s="1">
        <v>959</v>
      </c>
      <c r="C960" s="1" t="s">
        <v>963</v>
      </c>
      <c r="D960">
        <f>IMAGE("https://raw.githubusercontent.com/stautonico/pokemon-home-pokedex/main/sprites/tinkaton.png", 2)</f>
        <v>0</v>
      </c>
    </row>
    <row r="961" spans="1:4" ht="72" customHeight="1">
      <c r="A961" s="1" t="s">
        <v>4</v>
      </c>
      <c r="B961" s="1">
        <v>960</v>
      </c>
      <c r="C961" s="1" t="s">
        <v>964</v>
      </c>
      <c r="D961">
        <f>IMAGE("https://raw.githubusercontent.com/stautonico/pokemon-home-pokedex/main/sprites/wiglett.png", 2)</f>
        <v>0</v>
      </c>
    </row>
    <row r="962" spans="1:4" ht="72" customHeight="1">
      <c r="A962" s="1" t="s">
        <v>4</v>
      </c>
      <c r="B962" s="1">
        <v>961</v>
      </c>
      <c r="C962" s="1" t="s">
        <v>965</v>
      </c>
      <c r="D962">
        <f>IMAGE("https://raw.githubusercontent.com/stautonico/pokemon-home-pokedex/main/sprites/wugtrio.png", 2)</f>
        <v>0</v>
      </c>
    </row>
    <row r="963" spans="1:4" ht="72" customHeight="1">
      <c r="A963" s="1" t="s">
        <v>4</v>
      </c>
      <c r="B963" s="1">
        <v>962</v>
      </c>
      <c r="C963" s="1" t="s">
        <v>966</v>
      </c>
      <c r="D963">
        <f>IMAGE("https://raw.githubusercontent.com/stautonico/pokemon-home-pokedex/main/sprites/bombirdier.png", 2)</f>
        <v>0</v>
      </c>
    </row>
    <row r="964" spans="1:4" ht="72" customHeight="1">
      <c r="A964" s="1" t="s">
        <v>4</v>
      </c>
      <c r="B964" s="1">
        <v>963</v>
      </c>
      <c r="C964" s="1" t="s">
        <v>967</v>
      </c>
      <c r="D964">
        <f>IMAGE("https://raw.githubusercontent.com/stautonico/pokemon-home-pokedex/main/sprites/finizen.png", 2)</f>
        <v>0</v>
      </c>
    </row>
    <row r="965" spans="1:4" ht="72" customHeight="1">
      <c r="A965" s="1" t="s">
        <v>4</v>
      </c>
      <c r="B965" s="1">
        <v>964</v>
      </c>
      <c r="C965" s="1" t="s">
        <v>968</v>
      </c>
      <c r="D965">
        <f>IMAGE("https://raw.githubusercontent.com/stautonico/pokemon-home-pokedex/main/sprites/palafin.png", 2)</f>
        <v>0</v>
      </c>
    </row>
    <row r="966" spans="1:4" ht="72" customHeight="1">
      <c r="A966" s="1" t="s">
        <v>4</v>
      </c>
      <c r="B966" s="1">
        <v>965</v>
      </c>
      <c r="C966" s="1" t="s">
        <v>969</v>
      </c>
      <c r="D966">
        <f>IMAGE("https://raw.githubusercontent.com/stautonico/pokemon-home-pokedex/main/sprites/varoom.png", 2)</f>
        <v>0</v>
      </c>
    </row>
    <row r="967" spans="1:4" ht="72" customHeight="1">
      <c r="A967" s="1" t="s">
        <v>4</v>
      </c>
      <c r="B967" s="1">
        <v>966</v>
      </c>
      <c r="C967" s="1" t="s">
        <v>970</v>
      </c>
      <c r="D967">
        <f>IMAGE("https://raw.githubusercontent.com/stautonico/pokemon-home-pokedex/main/sprites/revavroom.png", 2)</f>
        <v>0</v>
      </c>
    </row>
    <row r="968" spans="1:4" ht="72" customHeight="1">
      <c r="A968" s="1" t="s">
        <v>4</v>
      </c>
      <c r="B968" s="1">
        <v>967</v>
      </c>
      <c r="C968" s="1" t="s">
        <v>971</v>
      </c>
      <c r="D968">
        <f>IMAGE("https://raw.githubusercontent.com/stautonico/pokemon-home-pokedex/main/sprites/cyclizar.png", 2)</f>
        <v>0</v>
      </c>
    </row>
    <row r="969" spans="1:4" ht="72" customHeight="1">
      <c r="A969" s="1" t="s">
        <v>4</v>
      </c>
      <c r="B969" s="1">
        <v>968</v>
      </c>
      <c r="C969" s="1" t="s">
        <v>972</v>
      </c>
      <c r="D969">
        <f>IMAGE("https://raw.githubusercontent.com/stautonico/pokemon-home-pokedex/main/sprites/orthworm.png", 2)</f>
        <v>0</v>
      </c>
    </row>
    <row r="970" spans="1:4" ht="72" customHeight="1">
      <c r="A970" s="1" t="s">
        <v>4</v>
      </c>
      <c r="B970" s="1">
        <v>969</v>
      </c>
      <c r="C970" s="1" t="s">
        <v>973</v>
      </c>
      <c r="D970">
        <f>IMAGE("https://raw.githubusercontent.com/stautonico/pokemon-home-pokedex/main/sprites/glimmet.png", 2)</f>
        <v>0</v>
      </c>
    </row>
    <row r="971" spans="1:4" ht="72" customHeight="1">
      <c r="A971" s="1" t="s">
        <v>4</v>
      </c>
      <c r="B971" s="1">
        <v>970</v>
      </c>
      <c r="C971" s="1" t="s">
        <v>974</v>
      </c>
      <c r="D971">
        <f>IMAGE("https://raw.githubusercontent.com/stautonico/pokemon-home-pokedex/main/sprites/glimmora.png", 2)</f>
        <v>0</v>
      </c>
    </row>
    <row r="972" spans="1:4" ht="72" customHeight="1">
      <c r="A972" s="1" t="s">
        <v>4</v>
      </c>
      <c r="B972" s="1">
        <v>971</v>
      </c>
      <c r="C972" s="1" t="s">
        <v>975</v>
      </c>
      <c r="D972">
        <f>IMAGE("https://raw.githubusercontent.com/stautonico/pokemon-home-pokedex/main/sprites/greavard.png", 2)</f>
        <v>0</v>
      </c>
    </row>
    <row r="973" spans="1:4" ht="72" customHeight="1">
      <c r="A973" s="1" t="s">
        <v>4</v>
      </c>
      <c r="B973" s="1">
        <v>972</v>
      </c>
      <c r="C973" s="1" t="s">
        <v>976</v>
      </c>
      <c r="D973">
        <f>IMAGE("https://raw.githubusercontent.com/stautonico/pokemon-home-pokedex/main/sprites/houndstone.png", 2)</f>
        <v>0</v>
      </c>
    </row>
    <row r="974" spans="1:4" ht="72" customHeight="1">
      <c r="A974" s="1" t="s">
        <v>4</v>
      </c>
      <c r="B974" s="1">
        <v>973</v>
      </c>
      <c r="C974" s="1" t="s">
        <v>977</v>
      </c>
      <c r="D974">
        <f>IMAGE("https://raw.githubusercontent.com/stautonico/pokemon-home-pokedex/main/sprites/flamigo.png", 2)</f>
        <v>0</v>
      </c>
    </row>
    <row r="975" spans="1:4" ht="72" customHeight="1">
      <c r="A975" s="1" t="s">
        <v>4</v>
      </c>
      <c r="B975" s="1">
        <v>974</v>
      </c>
      <c r="C975" s="1" t="s">
        <v>978</v>
      </c>
      <c r="D975">
        <f>IMAGE("https://raw.githubusercontent.com/stautonico/pokemon-home-pokedex/main/sprites/cetoddle.png", 2)</f>
        <v>0</v>
      </c>
    </row>
    <row r="976" spans="1:4" ht="72" customHeight="1">
      <c r="A976" s="1" t="s">
        <v>4</v>
      </c>
      <c r="B976" s="1">
        <v>975</v>
      </c>
      <c r="C976" s="1" t="s">
        <v>979</v>
      </c>
      <c r="D976">
        <f>IMAGE("https://raw.githubusercontent.com/stautonico/pokemon-home-pokedex/main/sprites/cetitan.png", 2)</f>
        <v>0</v>
      </c>
    </row>
    <row r="977" spans="1:4" ht="72" customHeight="1">
      <c r="A977" s="1" t="s">
        <v>4</v>
      </c>
      <c r="B977" s="1">
        <v>976</v>
      </c>
      <c r="C977" s="1" t="s">
        <v>980</v>
      </c>
      <c r="D977">
        <f>IMAGE("https://raw.githubusercontent.com/stautonico/pokemon-home-pokedex/main/sprites/veluza.png", 2)</f>
        <v>0</v>
      </c>
    </row>
    <row r="978" spans="1:4" ht="72" customHeight="1">
      <c r="A978" s="1" t="s">
        <v>4</v>
      </c>
      <c r="B978" s="1">
        <v>977</v>
      </c>
      <c r="C978" s="1" t="s">
        <v>981</v>
      </c>
      <c r="D978">
        <f>IMAGE("https://raw.githubusercontent.com/stautonico/pokemon-home-pokedex/main/sprites/dondozo.png", 2)</f>
        <v>0</v>
      </c>
    </row>
    <row r="979" spans="1:4" ht="72" customHeight="1">
      <c r="A979" s="1" t="s">
        <v>4</v>
      </c>
      <c r="B979" s="1">
        <v>978</v>
      </c>
      <c r="C979" s="1" t="s">
        <v>982</v>
      </c>
      <c r="D979">
        <f>IMAGE("https://raw.githubusercontent.com/stautonico/pokemon-home-pokedex/main/sprites/tatsugiri.png", 2)</f>
        <v>0</v>
      </c>
    </row>
    <row r="980" spans="1:4" ht="72" customHeight="1">
      <c r="A980" s="1" t="s">
        <v>4</v>
      </c>
      <c r="B980" s="1">
        <v>979</v>
      </c>
      <c r="C980" s="1" t="s">
        <v>983</v>
      </c>
      <c r="D980">
        <f>IMAGE("https://raw.githubusercontent.com/stautonico/pokemon-home-pokedex/main/sprites/annihilape.png", 2)</f>
        <v>0</v>
      </c>
    </row>
    <row r="981" spans="1:4" ht="72" customHeight="1">
      <c r="A981" s="1" t="s">
        <v>4</v>
      </c>
      <c r="B981" s="1">
        <v>980</v>
      </c>
      <c r="C981" s="1" t="s">
        <v>984</v>
      </c>
      <c r="D981">
        <f>IMAGE("https://raw.githubusercontent.com/stautonico/pokemon-home-pokedex/main/sprites/clodsire.png", 2)</f>
        <v>0</v>
      </c>
    </row>
    <row r="982" spans="1:4" ht="72" customHeight="1">
      <c r="A982" s="1" t="s">
        <v>4</v>
      </c>
      <c r="B982" s="1">
        <v>981</v>
      </c>
      <c r="C982" s="1" t="s">
        <v>985</v>
      </c>
      <c r="D982">
        <f>IMAGE("https://raw.githubusercontent.com/stautonico/pokemon-home-pokedex/main/sprites/farigiraf.png", 2)</f>
        <v>0</v>
      </c>
    </row>
    <row r="983" spans="1:4" ht="72" customHeight="1">
      <c r="A983" s="1" t="s">
        <v>4</v>
      </c>
      <c r="B983" s="1">
        <v>982</v>
      </c>
      <c r="C983" s="1" t="s">
        <v>986</v>
      </c>
      <c r="D983">
        <f>IMAGE("https://raw.githubusercontent.com/stautonico/pokemon-home-pokedex/main/sprites/dudunsparce.png", 2)</f>
        <v>0</v>
      </c>
    </row>
    <row r="984" spans="1:4" ht="72" customHeight="1">
      <c r="A984" s="1" t="s">
        <v>4</v>
      </c>
      <c r="B984" s="1">
        <v>983</v>
      </c>
      <c r="C984" s="1" t="s">
        <v>987</v>
      </c>
      <c r="D984">
        <f>IMAGE("https://raw.githubusercontent.com/stautonico/pokemon-home-pokedex/main/sprites/kingambit.png", 2)</f>
        <v>0</v>
      </c>
    </row>
    <row r="985" spans="1:4" ht="72" customHeight="1">
      <c r="A985" s="1" t="s">
        <v>4</v>
      </c>
      <c r="B985" s="1">
        <v>984</v>
      </c>
      <c r="C985" s="1" t="s">
        <v>988</v>
      </c>
      <c r="D985">
        <f>IMAGE("https://raw.githubusercontent.com/stautonico/pokemon-home-pokedex/main/sprites/great-tusk.png", 2)</f>
        <v>0</v>
      </c>
    </row>
    <row r="986" spans="1:4" ht="72" customHeight="1">
      <c r="A986" s="1" t="s">
        <v>4</v>
      </c>
      <c r="B986" s="1">
        <v>985</v>
      </c>
      <c r="C986" s="1" t="s">
        <v>989</v>
      </c>
      <c r="D986">
        <f>IMAGE("https://raw.githubusercontent.com/stautonico/pokemon-home-pokedex/main/sprites/scream-tail.png", 2)</f>
        <v>0</v>
      </c>
    </row>
    <row r="987" spans="1:4" ht="72" customHeight="1">
      <c r="A987" s="1" t="s">
        <v>4</v>
      </c>
      <c r="B987" s="1">
        <v>986</v>
      </c>
      <c r="C987" s="1" t="s">
        <v>990</v>
      </c>
      <c r="D987">
        <f>IMAGE("https://raw.githubusercontent.com/stautonico/pokemon-home-pokedex/main/sprites/brute-bonnet.png", 2)</f>
        <v>0</v>
      </c>
    </row>
    <row r="988" spans="1:4" ht="72" customHeight="1">
      <c r="A988" s="1" t="s">
        <v>4</v>
      </c>
      <c r="B988" s="1">
        <v>987</v>
      </c>
      <c r="C988" s="1" t="s">
        <v>991</v>
      </c>
      <c r="D988">
        <f>IMAGE("https://raw.githubusercontent.com/stautonico/pokemon-home-pokedex/main/sprites/flutter-mane.png", 2)</f>
        <v>0</v>
      </c>
    </row>
    <row r="989" spans="1:4" ht="72" customHeight="1">
      <c r="A989" s="1" t="s">
        <v>4</v>
      </c>
      <c r="B989" s="1">
        <v>988</v>
      </c>
      <c r="C989" s="1" t="s">
        <v>992</v>
      </c>
      <c r="D989">
        <f>IMAGE("https://raw.githubusercontent.com/stautonico/pokemon-home-pokedex/main/sprites/slither-wing.png", 2)</f>
        <v>0</v>
      </c>
    </row>
    <row r="990" spans="1:4" ht="72" customHeight="1">
      <c r="A990" s="1" t="s">
        <v>4</v>
      </c>
      <c r="B990" s="1">
        <v>989</v>
      </c>
      <c r="C990" s="1" t="s">
        <v>993</v>
      </c>
      <c r="D990">
        <f>IMAGE("https://raw.githubusercontent.com/stautonico/pokemon-home-pokedex/main/sprites/sandy-shocks.png", 2)</f>
        <v>0</v>
      </c>
    </row>
    <row r="991" spans="1:4" ht="72" customHeight="1">
      <c r="A991" s="1" t="s">
        <v>4</v>
      </c>
      <c r="B991" s="1">
        <v>990</v>
      </c>
      <c r="C991" s="1" t="s">
        <v>994</v>
      </c>
      <c r="D991">
        <f>IMAGE("https://raw.githubusercontent.com/stautonico/pokemon-home-pokedex/main/sprites/iron-treads.png", 2)</f>
        <v>0</v>
      </c>
    </row>
    <row r="992" spans="1:4" ht="72" customHeight="1">
      <c r="A992" s="1" t="s">
        <v>4</v>
      </c>
      <c r="B992" s="1">
        <v>991</v>
      </c>
      <c r="C992" s="1" t="s">
        <v>995</v>
      </c>
      <c r="D992">
        <f>IMAGE("https://raw.githubusercontent.com/stautonico/pokemon-home-pokedex/main/sprites/iron-bundle.png", 2)</f>
        <v>0</v>
      </c>
    </row>
    <row r="993" spans="1:4" ht="72" customHeight="1">
      <c r="A993" s="1" t="s">
        <v>4</v>
      </c>
      <c r="B993" s="1">
        <v>992</v>
      </c>
      <c r="C993" s="1" t="s">
        <v>996</v>
      </c>
      <c r="D993">
        <f>IMAGE("https://raw.githubusercontent.com/stautonico/pokemon-home-pokedex/main/sprites/iron-hands.png", 2)</f>
        <v>0</v>
      </c>
    </row>
    <row r="994" spans="1:4" ht="72" customHeight="1">
      <c r="A994" s="1" t="s">
        <v>4</v>
      </c>
      <c r="B994" s="1">
        <v>993</v>
      </c>
      <c r="C994" s="1" t="s">
        <v>997</v>
      </c>
      <c r="D994">
        <f>IMAGE("https://raw.githubusercontent.com/stautonico/pokemon-home-pokedex/main/sprites/iron-jugulis.png", 2)</f>
        <v>0</v>
      </c>
    </row>
    <row r="995" spans="1:4" ht="72" customHeight="1">
      <c r="A995" s="1" t="s">
        <v>4</v>
      </c>
      <c r="B995" s="1">
        <v>994</v>
      </c>
      <c r="C995" s="1" t="s">
        <v>998</v>
      </c>
      <c r="D995">
        <f>IMAGE("https://raw.githubusercontent.com/stautonico/pokemon-home-pokedex/main/sprites/iron-moth.png", 2)</f>
        <v>0</v>
      </c>
    </row>
    <row r="996" spans="1:4" ht="72" customHeight="1">
      <c r="A996" s="1" t="s">
        <v>4</v>
      </c>
      <c r="B996" s="1">
        <v>995</v>
      </c>
      <c r="C996" s="1" t="s">
        <v>999</v>
      </c>
      <c r="D996">
        <f>IMAGE("https://raw.githubusercontent.com/stautonico/pokemon-home-pokedex/main/sprites/iron-thorns.png", 2)</f>
        <v>0</v>
      </c>
    </row>
    <row r="997" spans="1:4" ht="72" customHeight="1">
      <c r="A997" s="1" t="s">
        <v>4</v>
      </c>
      <c r="B997" s="1">
        <v>996</v>
      </c>
      <c r="C997" s="1" t="s">
        <v>1000</v>
      </c>
      <c r="D997">
        <f>IMAGE("https://raw.githubusercontent.com/stautonico/pokemon-home-pokedex/main/sprites/frigibax.png", 2)</f>
        <v>0</v>
      </c>
    </row>
    <row r="998" spans="1:4" ht="72" customHeight="1">
      <c r="A998" s="1" t="s">
        <v>4</v>
      </c>
      <c r="B998" s="1">
        <v>997</v>
      </c>
      <c r="C998" s="1" t="s">
        <v>1001</v>
      </c>
      <c r="D998">
        <f>IMAGE("https://raw.githubusercontent.com/stautonico/pokemon-home-pokedex/main/sprites/arctibax.png", 2)</f>
        <v>0</v>
      </c>
    </row>
    <row r="999" spans="1:4" ht="72" customHeight="1">
      <c r="A999" s="1" t="s">
        <v>4</v>
      </c>
      <c r="B999" s="1">
        <v>998</v>
      </c>
      <c r="C999" s="1" t="s">
        <v>1002</v>
      </c>
      <c r="D999">
        <f>IMAGE("https://raw.githubusercontent.com/stautonico/pokemon-home-pokedex/main/sprites/baxcalibur.png", 2)</f>
        <v>0</v>
      </c>
    </row>
    <row r="1000" spans="1:4" ht="72" customHeight="1">
      <c r="A1000" s="1" t="s">
        <v>4</v>
      </c>
      <c r="B1000" s="1">
        <v>999</v>
      </c>
      <c r="C1000" s="1" t="s">
        <v>1003</v>
      </c>
      <c r="D1000">
        <f>IMAGE("https://raw.githubusercontent.com/stautonico/pokemon-home-pokedex/main/sprites/gimmighoul.png", 2)</f>
        <v>0</v>
      </c>
    </row>
    <row r="1001" spans="1:4" ht="72" customHeight="1">
      <c r="A1001" s="1" t="s">
        <v>4</v>
      </c>
      <c r="B1001" s="1">
        <v>1000</v>
      </c>
      <c r="C1001" s="1" t="s">
        <v>1004</v>
      </c>
      <c r="D1001">
        <f>IMAGE("https://raw.githubusercontent.com/stautonico/pokemon-home-pokedex/main/sprites/gholdengo.png", 2)</f>
        <v>0</v>
      </c>
    </row>
    <row r="1002" spans="1:4" ht="72" customHeight="1">
      <c r="A1002" s="1" t="s">
        <v>4</v>
      </c>
      <c r="B1002" s="1">
        <v>1001</v>
      </c>
      <c r="C1002" s="1" t="s">
        <v>1005</v>
      </c>
      <c r="D1002">
        <f>IMAGE("https://raw.githubusercontent.com/stautonico/pokemon-home-pokedex/main/sprites/wo-chien.png", 2)</f>
        <v>0</v>
      </c>
    </row>
    <row r="1003" spans="1:4" ht="72" customHeight="1">
      <c r="A1003" s="1" t="s">
        <v>4</v>
      </c>
      <c r="B1003" s="1">
        <v>1002</v>
      </c>
      <c r="C1003" s="1" t="s">
        <v>1006</v>
      </c>
      <c r="D1003">
        <f>IMAGE("https://raw.githubusercontent.com/stautonico/pokemon-home-pokedex/main/sprites/chien-pao.png", 2)</f>
        <v>0</v>
      </c>
    </row>
    <row r="1004" spans="1:4" ht="72" customHeight="1">
      <c r="A1004" s="1" t="s">
        <v>4</v>
      </c>
      <c r="B1004" s="1">
        <v>1003</v>
      </c>
      <c r="C1004" s="1" t="s">
        <v>1007</v>
      </c>
      <c r="D1004">
        <f>IMAGE("https://raw.githubusercontent.com/stautonico/pokemon-home-pokedex/main/sprites/ting-lu.png", 2)</f>
        <v>0</v>
      </c>
    </row>
    <row r="1005" spans="1:4" ht="72" customHeight="1">
      <c r="A1005" s="1" t="s">
        <v>4</v>
      </c>
      <c r="B1005" s="1">
        <v>1004</v>
      </c>
      <c r="C1005" s="1" t="s">
        <v>1008</v>
      </c>
      <c r="D1005">
        <f>IMAGE("https://raw.githubusercontent.com/stautonico/pokemon-home-pokedex/main/sprites/chi-yu.png", 2)</f>
        <v>0</v>
      </c>
    </row>
    <row r="1006" spans="1:4" ht="72" customHeight="1">
      <c r="A1006" s="1" t="s">
        <v>4</v>
      </c>
      <c r="B1006" s="1">
        <v>1005</v>
      </c>
      <c r="C1006" s="1" t="s">
        <v>1009</v>
      </c>
      <c r="D1006">
        <f>IMAGE("https://raw.githubusercontent.com/stautonico/pokemon-home-pokedex/main/sprites/roaring-moon.png", 2)</f>
        <v>0</v>
      </c>
    </row>
    <row r="1007" spans="1:4" ht="72" customHeight="1">
      <c r="A1007" s="1" t="s">
        <v>4</v>
      </c>
      <c r="B1007" s="1">
        <v>1006</v>
      </c>
      <c r="C1007" s="1" t="s">
        <v>1010</v>
      </c>
      <c r="D1007">
        <f>IMAGE("https://raw.githubusercontent.com/stautonico/pokemon-home-pokedex/main/sprites/iron-valiant.png", 2)</f>
        <v>0</v>
      </c>
    </row>
    <row r="1008" spans="1:4" ht="72" customHeight="1">
      <c r="A1008" s="1" t="s">
        <v>4</v>
      </c>
      <c r="B1008" s="1">
        <v>1007</v>
      </c>
      <c r="C1008" s="1" t="s">
        <v>1011</v>
      </c>
      <c r="D1008">
        <f>IMAGE("https://raw.githubusercontent.com/stautonico/pokemon-home-pokedex/main/sprites/koraidon.png", 2)</f>
        <v>0</v>
      </c>
    </row>
    <row r="1009" spans="1:4" ht="72" customHeight="1">
      <c r="A1009" s="1" t="s">
        <v>4</v>
      </c>
      <c r="B1009" s="1">
        <v>1008</v>
      </c>
      <c r="C1009" s="1" t="s">
        <v>1012</v>
      </c>
      <c r="D1009">
        <f>IMAGE("https://raw.githubusercontent.com/stautonico/pokemon-home-pokedex/main/sprites/miraidon.png", 2)</f>
        <v>0</v>
      </c>
    </row>
    <row r="1010" spans="1:4" ht="72" customHeight="1">
      <c r="A1010" s="1" t="s">
        <v>4</v>
      </c>
      <c r="B1010" s="1">
        <v>1009</v>
      </c>
      <c r="C1010" s="1" t="s">
        <v>1013</v>
      </c>
      <c r="D1010" t="s">
        <v>1014</v>
      </c>
    </row>
    <row r="1011" spans="1:4" ht="72" customHeight="1">
      <c r="A1011" s="1" t="s">
        <v>4</v>
      </c>
      <c r="B1011" s="1">
        <v>1010</v>
      </c>
      <c r="C1011" s="1" t="s">
        <v>1015</v>
      </c>
      <c r="D1011" t="s">
        <v>1016</v>
      </c>
    </row>
    <row r="1012" spans="1:4" ht="72" customHeight="1">
      <c r="A1012" s="1" t="s">
        <v>4</v>
      </c>
      <c r="B1012" s="1">
        <v>10001</v>
      </c>
      <c r="C1012" s="1" t="s">
        <v>1017</v>
      </c>
      <c r="D1012">
        <f>IMAGE("https://raw.githubusercontent.com/stautonico/pokemon-home-pokedex/main/sprites/deoxys-attack.png", 2)</f>
        <v>0</v>
      </c>
    </row>
    <row r="1013" spans="1:4" ht="72" customHeight="1">
      <c r="A1013" s="1" t="s">
        <v>4</v>
      </c>
      <c r="B1013" s="1">
        <v>10002</v>
      </c>
      <c r="C1013" s="1" t="s">
        <v>1018</v>
      </c>
      <c r="D1013">
        <f>IMAGE("https://raw.githubusercontent.com/stautonico/pokemon-home-pokedex/main/sprites/deoxys-defense.png", 2)</f>
        <v>0</v>
      </c>
    </row>
    <row r="1014" spans="1:4" ht="72" customHeight="1">
      <c r="A1014" s="1" t="s">
        <v>4</v>
      </c>
      <c r="B1014" s="1">
        <v>10003</v>
      </c>
      <c r="C1014" s="1" t="s">
        <v>1019</v>
      </c>
      <c r="D1014">
        <f>IMAGE("https://raw.githubusercontent.com/stautonico/pokemon-home-pokedex/main/sprites/deoxys-speed.png", 2)</f>
        <v>0</v>
      </c>
    </row>
    <row r="1015" spans="1:4" ht="72" customHeight="1">
      <c r="A1015" s="1" t="s">
        <v>4</v>
      </c>
      <c r="B1015" s="1">
        <v>10004</v>
      </c>
      <c r="C1015" s="1" t="s">
        <v>1020</v>
      </c>
      <c r="D1015">
        <f>IMAGE("https://raw.githubusercontent.com/stautonico/pokemon-home-pokedex/main/sprites/wormadam-sandy.png", 2)</f>
        <v>0</v>
      </c>
    </row>
    <row r="1016" spans="1:4" ht="72" customHeight="1">
      <c r="A1016" s="1" t="s">
        <v>4</v>
      </c>
      <c r="B1016" s="1">
        <v>10005</v>
      </c>
      <c r="C1016" s="1" t="s">
        <v>1021</v>
      </c>
      <c r="D1016">
        <f>IMAGE("https://raw.githubusercontent.com/stautonico/pokemon-home-pokedex/main/sprites/wormadam-trash.png", 2)</f>
        <v>0</v>
      </c>
    </row>
    <row r="1017" spans="1:4" ht="72" customHeight="1">
      <c r="A1017" s="1" t="s">
        <v>4</v>
      </c>
      <c r="B1017" s="1">
        <v>10006</v>
      </c>
      <c r="C1017" s="1" t="s">
        <v>1022</v>
      </c>
      <c r="D1017">
        <f>IMAGE("https://raw.githubusercontent.com/stautonico/pokemon-home-pokedex/main/sprites/shaymin-sky.png", 2)</f>
        <v>0</v>
      </c>
    </row>
    <row r="1018" spans="1:4" ht="72" customHeight="1">
      <c r="A1018" s="1" t="s">
        <v>4</v>
      </c>
      <c r="B1018" s="1">
        <v>10007</v>
      </c>
      <c r="C1018" s="1" t="s">
        <v>1023</v>
      </c>
      <c r="D1018">
        <f>IMAGE("https://raw.githubusercontent.com/stautonico/pokemon-home-pokedex/main/sprites/giratina-origin.png", 2)</f>
        <v>0</v>
      </c>
    </row>
    <row r="1019" spans="1:4" ht="72" customHeight="1">
      <c r="A1019" s="1" t="s">
        <v>4</v>
      </c>
      <c r="B1019" s="1">
        <v>10008</v>
      </c>
      <c r="C1019" s="1" t="s">
        <v>1024</v>
      </c>
      <c r="D1019">
        <f>IMAGE("https://raw.githubusercontent.com/stautonico/pokemon-home-pokedex/main/sprites/rotom-heat.png", 2)</f>
        <v>0</v>
      </c>
    </row>
    <row r="1020" spans="1:4" ht="72" customHeight="1">
      <c r="A1020" s="1" t="s">
        <v>4</v>
      </c>
      <c r="B1020" s="1">
        <v>10009</v>
      </c>
      <c r="C1020" s="1" t="s">
        <v>1025</v>
      </c>
      <c r="D1020">
        <f>IMAGE("https://raw.githubusercontent.com/stautonico/pokemon-home-pokedex/main/sprites/rotom-wash.png", 2)</f>
        <v>0</v>
      </c>
    </row>
    <row r="1021" spans="1:4" ht="72" customHeight="1">
      <c r="A1021" s="1" t="s">
        <v>4</v>
      </c>
      <c r="B1021" s="1">
        <v>10010</v>
      </c>
      <c r="C1021" s="1" t="s">
        <v>1026</v>
      </c>
      <c r="D1021">
        <f>IMAGE("https://raw.githubusercontent.com/stautonico/pokemon-home-pokedex/main/sprites/rotom-frost.png", 2)</f>
        <v>0</v>
      </c>
    </row>
    <row r="1022" spans="1:4" ht="72" customHeight="1">
      <c r="A1022" s="1" t="s">
        <v>4</v>
      </c>
      <c r="B1022" s="1">
        <v>10011</v>
      </c>
      <c r="C1022" s="1" t="s">
        <v>1027</v>
      </c>
      <c r="D1022">
        <f>IMAGE("https://raw.githubusercontent.com/stautonico/pokemon-home-pokedex/main/sprites/rotom-fan.png", 2)</f>
        <v>0</v>
      </c>
    </row>
    <row r="1023" spans="1:4" ht="72" customHeight="1">
      <c r="A1023" s="1" t="s">
        <v>4</v>
      </c>
      <c r="B1023" s="1">
        <v>10012</v>
      </c>
      <c r="C1023" s="1" t="s">
        <v>1028</v>
      </c>
      <c r="D1023">
        <f>IMAGE("https://raw.githubusercontent.com/stautonico/pokemon-home-pokedex/main/sprites/rotom-mow.png", 2)</f>
        <v>0</v>
      </c>
    </row>
    <row r="1024" spans="1:4" ht="72" customHeight="1">
      <c r="A1024" s="1" t="s">
        <v>4</v>
      </c>
      <c r="B1024" s="1">
        <v>10013</v>
      </c>
      <c r="C1024" s="1" t="s">
        <v>1029</v>
      </c>
      <c r="D1024">
        <f>IMAGE("https://raw.githubusercontent.com/stautonico/pokemon-home-pokedex/main/sprites/castform-sunny.png", 2)</f>
        <v>0</v>
      </c>
    </row>
    <row r="1025" spans="1:4" ht="72" customHeight="1">
      <c r="A1025" s="1" t="s">
        <v>4</v>
      </c>
      <c r="B1025" s="1">
        <v>10014</v>
      </c>
      <c r="C1025" s="1" t="s">
        <v>1030</v>
      </c>
      <c r="D1025">
        <f>IMAGE("https://raw.githubusercontent.com/stautonico/pokemon-home-pokedex/main/sprites/castform-rainy.png", 2)</f>
        <v>0</v>
      </c>
    </row>
    <row r="1026" spans="1:4" ht="72" customHeight="1">
      <c r="A1026" s="1" t="s">
        <v>4</v>
      </c>
      <c r="B1026" s="1">
        <v>10015</v>
      </c>
      <c r="C1026" s="1" t="s">
        <v>1031</v>
      </c>
      <c r="D1026">
        <f>IMAGE("https://raw.githubusercontent.com/stautonico/pokemon-home-pokedex/main/sprites/castform-snowy.png", 2)</f>
        <v>0</v>
      </c>
    </row>
    <row r="1027" spans="1:4" ht="72" customHeight="1">
      <c r="A1027" s="1" t="s">
        <v>4</v>
      </c>
      <c r="B1027" s="1">
        <v>10016</v>
      </c>
      <c r="C1027" s="1" t="s">
        <v>1032</v>
      </c>
      <c r="D1027">
        <f>IMAGE("https://raw.githubusercontent.com/stautonico/pokemon-home-pokedex/main/sprites/basculin-blue-striped.png", 2)</f>
        <v>0</v>
      </c>
    </row>
    <row r="1028" spans="1:4" ht="72" customHeight="1">
      <c r="A1028" s="1" t="s">
        <v>4</v>
      </c>
      <c r="B1028" s="1">
        <v>10017</v>
      </c>
      <c r="C1028" s="1" t="s">
        <v>1033</v>
      </c>
      <c r="D1028">
        <f>IMAGE("https://raw.githubusercontent.com/stautonico/pokemon-home-pokedex/main/sprites/darmanitan-zen.png", 2)</f>
        <v>0</v>
      </c>
    </row>
    <row r="1029" spans="1:4" ht="72" customHeight="1">
      <c r="A1029" s="1" t="s">
        <v>4</v>
      </c>
      <c r="B1029" s="1">
        <v>10018</v>
      </c>
      <c r="C1029" s="1" t="s">
        <v>1034</v>
      </c>
      <c r="D1029">
        <f>IMAGE("https://raw.githubusercontent.com/stautonico/pokemon-home-pokedex/main/sprites/meloetta-pirouette.png", 2)</f>
        <v>0</v>
      </c>
    </row>
    <row r="1030" spans="1:4" ht="72" customHeight="1">
      <c r="A1030" s="1" t="s">
        <v>4</v>
      </c>
      <c r="B1030" s="1">
        <v>10019</v>
      </c>
      <c r="C1030" s="1" t="s">
        <v>1035</v>
      </c>
      <c r="D1030">
        <f>IMAGE("https://raw.githubusercontent.com/stautonico/pokemon-home-pokedex/main/sprites/tornadus-therian.png", 2)</f>
        <v>0</v>
      </c>
    </row>
    <row r="1031" spans="1:4" ht="72" customHeight="1">
      <c r="A1031" s="1" t="s">
        <v>4</v>
      </c>
      <c r="B1031" s="1">
        <v>10020</v>
      </c>
      <c r="C1031" s="1" t="s">
        <v>1036</v>
      </c>
      <c r="D1031">
        <f>IMAGE("https://raw.githubusercontent.com/stautonico/pokemon-home-pokedex/main/sprites/thundurus-therian.png", 2)</f>
        <v>0</v>
      </c>
    </row>
    <row r="1032" spans="1:4" ht="72" customHeight="1">
      <c r="A1032" s="1" t="s">
        <v>4</v>
      </c>
      <c r="B1032" s="1">
        <v>10021</v>
      </c>
      <c r="C1032" s="1" t="s">
        <v>1037</v>
      </c>
      <c r="D1032">
        <f>IMAGE("https://raw.githubusercontent.com/stautonico/pokemon-home-pokedex/main/sprites/landorus-therian.png", 2)</f>
        <v>0</v>
      </c>
    </row>
    <row r="1033" spans="1:4" ht="72" customHeight="1">
      <c r="A1033" s="1" t="s">
        <v>4</v>
      </c>
      <c r="B1033" s="1">
        <v>10022</v>
      </c>
      <c r="C1033" s="1" t="s">
        <v>1038</v>
      </c>
      <c r="D1033">
        <f>IMAGE("https://raw.githubusercontent.com/stautonico/pokemon-home-pokedex/main/sprites/kyurem-black.png", 2)</f>
        <v>0</v>
      </c>
    </row>
    <row r="1034" spans="1:4" ht="72" customHeight="1">
      <c r="A1034" s="1" t="s">
        <v>4</v>
      </c>
      <c r="B1034" s="1">
        <v>10023</v>
      </c>
      <c r="C1034" s="1" t="s">
        <v>1039</v>
      </c>
      <c r="D1034">
        <f>IMAGE("https://raw.githubusercontent.com/stautonico/pokemon-home-pokedex/main/sprites/kyurem-white.png", 2)</f>
        <v>0</v>
      </c>
    </row>
    <row r="1035" spans="1:4" ht="72" customHeight="1">
      <c r="A1035" s="1" t="s">
        <v>4</v>
      </c>
      <c r="B1035" s="1">
        <v>10024</v>
      </c>
      <c r="C1035" s="1" t="s">
        <v>1040</v>
      </c>
      <c r="D1035">
        <f>IMAGE("https://raw.githubusercontent.com/stautonico/pokemon-home-pokedex/main/sprites/keldeo-resolute.png", 2)</f>
        <v>0</v>
      </c>
    </row>
    <row r="1036" spans="1:4" ht="72" customHeight="1">
      <c r="A1036" s="1" t="s">
        <v>4</v>
      </c>
      <c r="B1036" s="1">
        <v>10025</v>
      </c>
      <c r="C1036" s="1" t="s">
        <v>1041</v>
      </c>
      <c r="D1036">
        <f>IMAGE("https://raw.githubusercontent.com/stautonico/pokemon-home-pokedex/main/sprites/meowstic-female.png", 2)</f>
        <v>0</v>
      </c>
    </row>
    <row r="1037" spans="1:4" ht="72" customHeight="1">
      <c r="A1037" s="1" t="s">
        <v>4</v>
      </c>
      <c r="B1037" s="1">
        <v>10026</v>
      </c>
      <c r="C1037" s="1" t="s">
        <v>1042</v>
      </c>
      <c r="D1037">
        <f>IMAGE("https://raw.githubusercontent.com/stautonico/pokemon-home-pokedex/main/sprites/aegislash-blade.png", 2)</f>
        <v>0</v>
      </c>
    </row>
    <row r="1038" spans="1:4" ht="72" customHeight="1">
      <c r="A1038" s="1" t="s">
        <v>4</v>
      </c>
      <c r="B1038" s="1">
        <v>10027</v>
      </c>
      <c r="C1038" s="1" t="s">
        <v>1043</v>
      </c>
      <c r="D1038">
        <f>IMAGE("https://raw.githubusercontent.com/stautonico/pokemon-home-pokedex/main/sprites/pumpkaboo-small.png", 2)</f>
        <v>0</v>
      </c>
    </row>
    <row r="1039" spans="1:4" ht="72" customHeight="1">
      <c r="A1039" s="1" t="s">
        <v>4</v>
      </c>
      <c r="B1039" s="1">
        <v>10028</v>
      </c>
      <c r="C1039" s="1" t="s">
        <v>1044</v>
      </c>
      <c r="D1039">
        <f>IMAGE("https://raw.githubusercontent.com/stautonico/pokemon-home-pokedex/main/sprites/pumpkaboo-large.png", 2)</f>
        <v>0</v>
      </c>
    </row>
    <row r="1040" spans="1:4" ht="72" customHeight="1">
      <c r="A1040" s="1" t="s">
        <v>4</v>
      </c>
      <c r="B1040" s="1">
        <v>10029</v>
      </c>
      <c r="C1040" s="1" t="s">
        <v>1045</v>
      </c>
      <c r="D1040">
        <f>IMAGE("https://raw.githubusercontent.com/stautonico/pokemon-home-pokedex/main/sprites/pumpkaboo-super.png", 2)</f>
        <v>0</v>
      </c>
    </row>
    <row r="1041" spans="1:4" ht="72" customHeight="1">
      <c r="A1041" s="1" t="s">
        <v>4</v>
      </c>
      <c r="B1041" s="1">
        <v>10030</v>
      </c>
      <c r="C1041" s="1" t="s">
        <v>1046</v>
      </c>
      <c r="D1041">
        <f>IMAGE("https://raw.githubusercontent.com/stautonico/pokemon-home-pokedex/main/sprites/gourgeist-small.png", 2)</f>
        <v>0</v>
      </c>
    </row>
    <row r="1042" spans="1:4" ht="72" customHeight="1">
      <c r="A1042" s="1" t="s">
        <v>4</v>
      </c>
      <c r="B1042" s="1">
        <v>10031</v>
      </c>
      <c r="C1042" s="1" t="s">
        <v>1047</v>
      </c>
      <c r="D1042">
        <f>IMAGE("https://raw.githubusercontent.com/stautonico/pokemon-home-pokedex/main/sprites/gourgeist-large.png", 2)</f>
        <v>0</v>
      </c>
    </row>
    <row r="1043" spans="1:4" ht="72" customHeight="1">
      <c r="A1043" s="1" t="s">
        <v>4</v>
      </c>
      <c r="B1043" s="1">
        <v>10032</v>
      </c>
      <c r="C1043" s="1" t="s">
        <v>1048</v>
      </c>
      <c r="D1043">
        <f>IMAGE("https://raw.githubusercontent.com/stautonico/pokemon-home-pokedex/main/sprites/gourgeist-super.png", 2)</f>
        <v>0</v>
      </c>
    </row>
    <row r="1044" spans="1:4" ht="72" customHeight="1">
      <c r="A1044" s="1" t="s">
        <v>4</v>
      </c>
      <c r="B1044" s="1">
        <v>10033</v>
      </c>
      <c r="C1044" s="1" t="s">
        <v>1049</v>
      </c>
      <c r="D1044">
        <f>IMAGE("https://raw.githubusercontent.com/stautonico/pokemon-home-pokedex/main/sprites/venusaur-mega.png", 2)</f>
        <v>0</v>
      </c>
    </row>
    <row r="1045" spans="1:4" ht="72" customHeight="1">
      <c r="A1045" s="1" t="s">
        <v>4</v>
      </c>
      <c r="B1045" s="1">
        <v>10034</v>
      </c>
      <c r="C1045" s="1" t="s">
        <v>1050</v>
      </c>
      <c r="D1045">
        <f>IMAGE("https://raw.githubusercontent.com/stautonico/pokemon-home-pokedex/main/sprites/charizard-mega-x.png", 2)</f>
        <v>0</v>
      </c>
    </row>
    <row r="1046" spans="1:4" ht="72" customHeight="1">
      <c r="A1046" s="1" t="s">
        <v>4</v>
      </c>
      <c r="B1046" s="1">
        <v>10035</v>
      </c>
      <c r="C1046" s="1" t="s">
        <v>1051</v>
      </c>
      <c r="D1046">
        <f>IMAGE("https://raw.githubusercontent.com/stautonico/pokemon-home-pokedex/main/sprites/charizard-mega-y.png", 2)</f>
        <v>0</v>
      </c>
    </row>
    <row r="1047" spans="1:4" ht="72" customHeight="1">
      <c r="A1047" s="1" t="s">
        <v>4</v>
      </c>
      <c r="B1047" s="1">
        <v>10036</v>
      </c>
      <c r="C1047" s="1" t="s">
        <v>1052</v>
      </c>
      <c r="D1047">
        <f>IMAGE("https://raw.githubusercontent.com/stautonico/pokemon-home-pokedex/main/sprites/blastoise-mega.png", 2)</f>
        <v>0</v>
      </c>
    </row>
    <row r="1048" spans="1:4" ht="72" customHeight="1">
      <c r="A1048" s="1" t="s">
        <v>4</v>
      </c>
      <c r="B1048" s="1">
        <v>10037</v>
      </c>
      <c r="C1048" s="1" t="s">
        <v>1053</v>
      </c>
      <c r="D1048">
        <f>IMAGE("https://raw.githubusercontent.com/stautonico/pokemon-home-pokedex/main/sprites/alakazam-mega.png", 2)</f>
        <v>0</v>
      </c>
    </row>
    <row r="1049" spans="1:4" ht="72" customHeight="1">
      <c r="A1049" s="1" t="s">
        <v>4</v>
      </c>
      <c r="B1049" s="1">
        <v>10038</v>
      </c>
      <c r="C1049" s="1" t="s">
        <v>1054</v>
      </c>
      <c r="D1049">
        <f>IMAGE("https://raw.githubusercontent.com/stautonico/pokemon-home-pokedex/main/sprites/gengar-mega.png", 2)</f>
        <v>0</v>
      </c>
    </row>
    <row r="1050" spans="1:4" ht="72" customHeight="1">
      <c r="A1050" s="1" t="s">
        <v>4</v>
      </c>
      <c r="B1050" s="1">
        <v>10039</v>
      </c>
      <c r="C1050" s="1" t="s">
        <v>1055</v>
      </c>
      <c r="D1050">
        <f>IMAGE("https://raw.githubusercontent.com/stautonico/pokemon-home-pokedex/main/sprites/kangaskhan-mega.png", 2)</f>
        <v>0</v>
      </c>
    </row>
    <row r="1051" spans="1:4" ht="72" customHeight="1">
      <c r="A1051" s="1" t="s">
        <v>4</v>
      </c>
      <c r="B1051" s="1">
        <v>10040</v>
      </c>
      <c r="C1051" s="1" t="s">
        <v>1056</v>
      </c>
      <c r="D1051">
        <f>IMAGE("https://raw.githubusercontent.com/stautonico/pokemon-home-pokedex/main/sprites/pinsir-mega.png", 2)</f>
        <v>0</v>
      </c>
    </row>
    <row r="1052" spans="1:4" ht="72" customHeight="1">
      <c r="A1052" s="1" t="s">
        <v>4</v>
      </c>
      <c r="B1052" s="1">
        <v>10041</v>
      </c>
      <c r="C1052" s="1" t="s">
        <v>1057</v>
      </c>
      <c r="D1052">
        <f>IMAGE("https://raw.githubusercontent.com/stautonico/pokemon-home-pokedex/main/sprites/gyarados-mega.png", 2)</f>
        <v>0</v>
      </c>
    </row>
    <row r="1053" spans="1:4" ht="72" customHeight="1">
      <c r="A1053" s="1" t="s">
        <v>4</v>
      </c>
      <c r="B1053" s="1">
        <v>10042</v>
      </c>
      <c r="C1053" s="1" t="s">
        <v>1058</v>
      </c>
      <c r="D1053">
        <f>IMAGE("https://raw.githubusercontent.com/stautonico/pokemon-home-pokedex/main/sprites/aerodactyl-mega.png", 2)</f>
        <v>0</v>
      </c>
    </row>
    <row r="1054" spans="1:4" ht="72" customHeight="1">
      <c r="A1054" s="1" t="s">
        <v>4</v>
      </c>
      <c r="B1054" s="1">
        <v>10043</v>
      </c>
      <c r="C1054" s="1" t="s">
        <v>1059</v>
      </c>
      <c r="D1054">
        <f>IMAGE("https://raw.githubusercontent.com/stautonico/pokemon-home-pokedex/main/sprites/mewtwo-mega-x.png", 2)</f>
        <v>0</v>
      </c>
    </row>
    <row r="1055" spans="1:4" ht="72" customHeight="1">
      <c r="A1055" s="1" t="s">
        <v>4</v>
      </c>
      <c r="B1055" s="1">
        <v>10044</v>
      </c>
      <c r="C1055" s="1" t="s">
        <v>1060</v>
      </c>
      <c r="D1055">
        <f>IMAGE("https://raw.githubusercontent.com/stautonico/pokemon-home-pokedex/main/sprites/mewtwo-mega-y.png", 2)</f>
        <v>0</v>
      </c>
    </row>
    <row r="1056" spans="1:4" ht="72" customHeight="1">
      <c r="A1056" s="1" t="s">
        <v>4</v>
      </c>
      <c r="B1056" s="1">
        <v>10045</v>
      </c>
      <c r="C1056" s="1" t="s">
        <v>1061</v>
      </c>
      <c r="D1056">
        <f>IMAGE("https://raw.githubusercontent.com/stautonico/pokemon-home-pokedex/main/sprites/ampharos-mega.png", 2)</f>
        <v>0</v>
      </c>
    </row>
    <row r="1057" spans="1:4" ht="72" customHeight="1">
      <c r="A1057" s="1" t="s">
        <v>4</v>
      </c>
      <c r="B1057" s="1">
        <v>10046</v>
      </c>
      <c r="C1057" s="1" t="s">
        <v>1062</v>
      </c>
      <c r="D1057">
        <f>IMAGE("https://raw.githubusercontent.com/stautonico/pokemon-home-pokedex/main/sprites/scizor-mega.png", 2)</f>
        <v>0</v>
      </c>
    </row>
    <row r="1058" spans="1:4" ht="72" customHeight="1">
      <c r="A1058" s="1" t="s">
        <v>4</v>
      </c>
      <c r="B1058" s="1">
        <v>10047</v>
      </c>
      <c r="C1058" s="1" t="s">
        <v>1063</v>
      </c>
      <c r="D1058">
        <f>IMAGE("https://raw.githubusercontent.com/stautonico/pokemon-home-pokedex/main/sprites/heracross-mega.png", 2)</f>
        <v>0</v>
      </c>
    </row>
    <row r="1059" spans="1:4" ht="72" customHeight="1">
      <c r="A1059" s="1" t="s">
        <v>4</v>
      </c>
      <c r="B1059" s="1">
        <v>10048</v>
      </c>
      <c r="C1059" s="1" t="s">
        <v>1064</v>
      </c>
      <c r="D1059">
        <f>IMAGE("https://raw.githubusercontent.com/stautonico/pokemon-home-pokedex/main/sprites/houndoom-mega.png", 2)</f>
        <v>0</v>
      </c>
    </row>
    <row r="1060" spans="1:4" ht="72" customHeight="1">
      <c r="A1060" s="1" t="s">
        <v>4</v>
      </c>
      <c r="B1060" s="1">
        <v>10049</v>
      </c>
      <c r="C1060" s="1" t="s">
        <v>1065</v>
      </c>
      <c r="D1060">
        <f>IMAGE("https://raw.githubusercontent.com/stautonico/pokemon-home-pokedex/main/sprites/tyranitar-mega.png", 2)</f>
        <v>0</v>
      </c>
    </row>
    <row r="1061" spans="1:4" ht="72" customHeight="1">
      <c r="A1061" s="1" t="s">
        <v>4</v>
      </c>
      <c r="B1061" s="1">
        <v>10050</v>
      </c>
      <c r="C1061" s="1" t="s">
        <v>1066</v>
      </c>
      <c r="D1061">
        <f>IMAGE("https://raw.githubusercontent.com/stautonico/pokemon-home-pokedex/main/sprites/blaziken-mega.png", 2)</f>
        <v>0</v>
      </c>
    </row>
    <row r="1062" spans="1:4" ht="72" customHeight="1">
      <c r="A1062" s="1" t="s">
        <v>4</v>
      </c>
      <c r="B1062" s="1">
        <v>10051</v>
      </c>
      <c r="C1062" s="1" t="s">
        <v>1067</v>
      </c>
      <c r="D1062">
        <f>IMAGE("https://raw.githubusercontent.com/stautonico/pokemon-home-pokedex/main/sprites/gardevoir-mega.png", 2)</f>
        <v>0</v>
      </c>
    </row>
    <row r="1063" spans="1:4" ht="72" customHeight="1">
      <c r="A1063" s="1" t="s">
        <v>4</v>
      </c>
      <c r="B1063" s="1">
        <v>10052</v>
      </c>
      <c r="C1063" s="1" t="s">
        <v>1068</v>
      </c>
      <c r="D1063">
        <f>IMAGE("https://raw.githubusercontent.com/stautonico/pokemon-home-pokedex/main/sprites/mawile-mega.png", 2)</f>
        <v>0</v>
      </c>
    </row>
    <row r="1064" spans="1:4" ht="72" customHeight="1">
      <c r="A1064" s="1" t="s">
        <v>4</v>
      </c>
      <c r="B1064" s="1">
        <v>10053</v>
      </c>
      <c r="C1064" s="1" t="s">
        <v>1069</v>
      </c>
      <c r="D1064">
        <f>IMAGE("https://raw.githubusercontent.com/stautonico/pokemon-home-pokedex/main/sprites/aggron-mega.png", 2)</f>
        <v>0</v>
      </c>
    </row>
    <row r="1065" spans="1:4" ht="72" customHeight="1">
      <c r="A1065" s="1" t="s">
        <v>4</v>
      </c>
      <c r="B1065" s="1">
        <v>10054</v>
      </c>
      <c r="C1065" s="1" t="s">
        <v>1070</v>
      </c>
      <c r="D1065">
        <f>IMAGE("https://raw.githubusercontent.com/stautonico/pokemon-home-pokedex/main/sprites/medicham-mega.png", 2)</f>
        <v>0</v>
      </c>
    </row>
    <row r="1066" spans="1:4" ht="72" customHeight="1">
      <c r="A1066" s="1" t="s">
        <v>4</v>
      </c>
      <c r="B1066" s="1">
        <v>10055</v>
      </c>
      <c r="C1066" s="1" t="s">
        <v>1071</v>
      </c>
      <c r="D1066">
        <f>IMAGE("https://raw.githubusercontent.com/stautonico/pokemon-home-pokedex/main/sprites/manectric-mega.png", 2)</f>
        <v>0</v>
      </c>
    </row>
    <row r="1067" spans="1:4" ht="72" customHeight="1">
      <c r="A1067" s="1" t="s">
        <v>4</v>
      </c>
      <c r="B1067" s="1">
        <v>10056</v>
      </c>
      <c r="C1067" s="1" t="s">
        <v>1072</v>
      </c>
      <c r="D1067">
        <f>IMAGE("https://raw.githubusercontent.com/stautonico/pokemon-home-pokedex/main/sprites/banette-mega.png", 2)</f>
        <v>0</v>
      </c>
    </row>
    <row r="1068" spans="1:4" ht="72" customHeight="1">
      <c r="A1068" s="1" t="s">
        <v>4</v>
      </c>
      <c r="B1068" s="1">
        <v>10057</v>
      </c>
      <c r="C1068" s="1" t="s">
        <v>1073</v>
      </c>
      <c r="D1068">
        <f>IMAGE("https://raw.githubusercontent.com/stautonico/pokemon-home-pokedex/main/sprites/absol-mega.png", 2)</f>
        <v>0</v>
      </c>
    </row>
    <row r="1069" spans="1:4" ht="72" customHeight="1">
      <c r="A1069" s="1" t="s">
        <v>4</v>
      </c>
      <c r="B1069" s="1">
        <v>10058</v>
      </c>
      <c r="C1069" s="1" t="s">
        <v>1074</v>
      </c>
      <c r="D1069">
        <f>IMAGE("https://raw.githubusercontent.com/stautonico/pokemon-home-pokedex/main/sprites/garchomp-mega.png", 2)</f>
        <v>0</v>
      </c>
    </row>
    <row r="1070" spans="1:4" ht="72" customHeight="1">
      <c r="A1070" s="1" t="s">
        <v>4</v>
      </c>
      <c r="B1070" s="1">
        <v>10059</v>
      </c>
      <c r="C1070" s="1" t="s">
        <v>1075</v>
      </c>
      <c r="D1070">
        <f>IMAGE("https://raw.githubusercontent.com/stautonico/pokemon-home-pokedex/main/sprites/lucario-mega.png", 2)</f>
        <v>0</v>
      </c>
    </row>
    <row r="1071" spans="1:4" ht="72" customHeight="1">
      <c r="A1071" s="1" t="s">
        <v>4</v>
      </c>
      <c r="B1071" s="1">
        <v>10060</v>
      </c>
      <c r="C1071" s="1" t="s">
        <v>1076</v>
      </c>
      <c r="D1071">
        <f>IMAGE("https://raw.githubusercontent.com/stautonico/pokemon-home-pokedex/main/sprites/abomasnow-mega.png", 2)</f>
        <v>0</v>
      </c>
    </row>
    <row r="1072" spans="1:4" ht="72" customHeight="1">
      <c r="A1072" s="1" t="s">
        <v>4</v>
      </c>
      <c r="B1072" s="1">
        <v>10061</v>
      </c>
      <c r="C1072" s="1" t="s">
        <v>1077</v>
      </c>
      <c r="D1072">
        <f>IMAGE("https://raw.githubusercontent.com/stautonico/pokemon-home-pokedex/main/sprites/floette-eternal.png", 2)</f>
        <v>0</v>
      </c>
    </row>
    <row r="1073" spans="1:4" ht="72" customHeight="1">
      <c r="A1073" s="1" t="s">
        <v>4</v>
      </c>
      <c r="B1073" s="1">
        <v>10062</v>
      </c>
      <c r="C1073" s="1" t="s">
        <v>1078</v>
      </c>
      <c r="D1073">
        <f>IMAGE("https://raw.githubusercontent.com/stautonico/pokemon-home-pokedex/main/sprites/latias-mega.png", 2)</f>
        <v>0</v>
      </c>
    </row>
    <row r="1074" spans="1:4" ht="72" customHeight="1">
      <c r="A1074" s="1" t="s">
        <v>4</v>
      </c>
      <c r="B1074" s="1">
        <v>10063</v>
      </c>
      <c r="C1074" s="1" t="s">
        <v>1079</v>
      </c>
      <c r="D1074">
        <f>IMAGE("https://raw.githubusercontent.com/stautonico/pokemon-home-pokedex/main/sprites/latios-mega.png", 2)</f>
        <v>0</v>
      </c>
    </row>
    <row r="1075" spans="1:4" ht="72" customHeight="1">
      <c r="A1075" s="1" t="s">
        <v>4</v>
      </c>
      <c r="B1075" s="1">
        <v>10064</v>
      </c>
      <c r="C1075" s="1" t="s">
        <v>1080</v>
      </c>
      <c r="D1075">
        <f>IMAGE("https://raw.githubusercontent.com/stautonico/pokemon-home-pokedex/main/sprites/swampert-mega.png", 2)</f>
        <v>0</v>
      </c>
    </row>
    <row r="1076" spans="1:4" ht="72" customHeight="1">
      <c r="A1076" s="1" t="s">
        <v>4</v>
      </c>
      <c r="B1076" s="1">
        <v>10065</v>
      </c>
      <c r="C1076" s="1" t="s">
        <v>1081</v>
      </c>
      <c r="D1076">
        <f>IMAGE("https://raw.githubusercontent.com/stautonico/pokemon-home-pokedex/main/sprites/sceptile-mega.png", 2)</f>
        <v>0</v>
      </c>
    </row>
    <row r="1077" spans="1:4" ht="72" customHeight="1">
      <c r="A1077" s="1" t="s">
        <v>4</v>
      </c>
      <c r="B1077" s="1">
        <v>10066</v>
      </c>
      <c r="C1077" s="1" t="s">
        <v>1082</v>
      </c>
      <c r="D1077">
        <f>IMAGE("https://raw.githubusercontent.com/stautonico/pokemon-home-pokedex/main/sprites/sableye-mega.png", 2)</f>
        <v>0</v>
      </c>
    </row>
    <row r="1078" spans="1:4" ht="72" customHeight="1">
      <c r="A1078" s="1" t="s">
        <v>4</v>
      </c>
      <c r="B1078" s="1">
        <v>10067</v>
      </c>
      <c r="C1078" s="1" t="s">
        <v>1083</v>
      </c>
      <c r="D1078">
        <f>IMAGE("https://raw.githubusercontent.com/stautonico/pokemon-home-pokedex/main/sprites/altaria-mega.png", 2)</f>
        <v>0</v>
      </c>
    </row>
    <row r="1079" spans="1:4" ht="72" customHeight="1">
      <c r="A1079" s="1" t="s">
        <v>4</v>
      </c>
      <c r="B1079" s="1">
        <v>10068</v>
      </c>
      <c r="C1079" s="1" t="s">
        <v>1084</v>
      </c>
      <c r="D1079">
        <f>IMAGE("https://raw.githubusercontent.com/stautonico/pokemon-home-pokedex/main/sprites/gallade-mega.png", 2)</f>
        <v>0</v>
      </c>
    </row>
    <row r="1080" spans="1:4" ht="72" customHeight="1">
      <c r="A1080" s="1" t="s">
        <v>4</v>
      </c>
      <c r="B1080" s="1">
        <v>10069</v>
      </c>
      <c r="C1080" s="1" t="s">
        <v>1085</v>
      </c>
      <c r="D1080">
        <f>IMAGE("https://raw.githubusercontent.com/stautonico/pokemon-home-pokedex/main/sprites/audino-mega.png", 2)</f>
        <v>0</v>
      </c>
    </row>
    <row r="1081" spans="1:4" ht="72" customHeight="1">
      <c r="A1081" s="1" t="s">
        <v>4</v>
      </c>
      <c r="B1081" s="1">
        <v>10070</v>
      </c>
      <c r="C1081" s="1" t="s">
        <v>1086</v>
      </c>
      <c r="D1081">
        <f>IMAGE("https://raw.githubusercontent.com/stautonico/pokemon-home-pokedex/main/sprites/sharpedo-mega.png", 2)</f>
        <v>0</v>
      </c>
    </row>
    <row r="1082" spans="1:4" ht="72" customHeight="1">
      <c r="A1082" s="1" t="s">
        <v>4</v>
      </c>
      <c r="B1082" s="1">
        <v>10071</v>
      </c>
      <c r="C1082" s="1" t="s">
        <v>1087</v>
      </c>
      <c r="D1082">
        <f>IMAGE("https://raw.githubusercontent.com/stautonico/pokemon-home-pokedex/main/sprites/slowbro-mega.png", 2)</f>
        <v>0</v>
      </c>
    </row>
    <row r="1083" spans="1:4" ht="72" customHeight="1">
      <c r="A1083" s="1" t="s">
        <v>4</v>
      </c>
      <c r="B1083" s="1">
        <v>10072</v>
      </c>
      <c r="C1083" s="1" t="s">
        <v>1088</v>
      </c>
      <c r="D1083">
        <f>IMAGE("https://raw.githubusercontent.com/stautonico/pokemon-home-pokedex/main/sprites/steelix-mega.png", 2)</f>
        <v>0</v>
      </c>
    </row>
    <row r="1084" spans="1:4" ht="72" customHeight="1">
      <c r="A1084" s="1" t="s">
        <v>4</v>
      </c>
      <c r="B1084" s="1">
        <v>10073</v>
      </c>
      <c r="C1084" s="1" t="s">
        <v>1089</v>
      </c>
      <c r="D1084">
        <f>IMAGE("https://raw.githubusercontent.com/stautonico/pokemon-home-pokedex/main/sprites/pidgeot-mega.png", 2)</f>
        <v>0</v>
      </c>
    </row>
    <row r="1085" spans="1:4" ht="72" customHeight="1">
      <c r="A1085" s="1" t="s">
        <v>4</v>
      </c>
      <c r="B1085" s="1">
        <v>10074</v>
      </c>
      <c r="C1085" s="1" t="s">
        <v>1090</v>
      </c>
      <c r="D1085">
        <f>IMAGE("https://raw.githubusercontent.com/stautonico/pokemon-home-pokedex/main/sprites/glalie-mega.png", 2)</f>
        <v>0</v>
      </c>
    </row>
    <row r="1086" spans="1:4" ht="72" customHeight="1">
      <c r="A1086" s="1" t="s">
        <v>4</v>
      </c>
      <c r="B1086" s="1">
        <v>10075</v>
      </c>
      <c r="C1086" s="1" t="s">
        <v>1091</v>
      </c>
      <c r="D1086">
        <f>IMAGE("https://raw.githubusercontent.com/stautonico/pokemon-home-pokedex/main/sprites/diancie-mega.png", 2)</f>
        <v>0</v>
      </c>
    </row>
    <row r="1087" spans="1:4" ht="72" customHeight="1">
      <c r="A1087" s="1" t="s">
        <v>4</v>
      </c>
      <c r="B1087" s="1">
        <v>10076</v>
      </c>
      <c r="C1087" s="1" t="s">
        <v>1092</v>
      </c>
      <c r="D1087">
        <f>IMAGE("https://raw.githubusercontent.com/stautonico/pokemon-home-pokedex/main/sprites/metagross-mega.png", 2)</f>
        <v>0</v>
      </c>
    </row>
    <row r="1088" spans="1:4" ht="72" customHeight="1">
      <c r="A1088" s="1" t="s">
        <v>4</v>
      </c>
      <c r="B1088" s="1">
        <v>10077</v>
      </c>
      <c r="C1088" s="1" t="s">
        <v>1093</v>
      </c>
      <c r="D1088">
        <f>IMAGE("https://raw.githubusercontent.com/stautonico/pokemon-home-pokedex/main/sprites/kyogre-primal.png", 2)</f>
        <v>0</v>
      </c>
    </row>
    <row r="1089" spans="1:4" ht="72" customHeight="1">
      <c r="A1089" s="1" t="s">
        <v>4</v>
      </c>
      <c r="B1089" s="1">
        <v>10078</v>
      </c>
      <c r="C1089" s="1" t="s">
        <v>1094</v>
      </c>
      <c r="D1089">
        <f>IMAGE("https://raw.githubusercontent.com/stautonico/pokemon-home-pokedex/main/sprites/groudon-primal.png", 2)</f>
        <v>0</v>
      </c>
    </row>
    <row r="1090" spans="1:4" ht="72" customHeight="1">
      <c r="A1090" s="1" t="s">
        <v>4</v>
      </c>
      <c r="B1090" s="1">
        <v>10079</v>
      </c>
      <c r="C1090" s="1" t="s">
        <v>1095</v>
      </c>
      <c r="D1090">
        <f>IMAGE("https://raw.githubusercontent.com/stautonico/pokemon-home-pokedex/main/sprites/rayquaza-mega.png", 2)</f>
        <v>0</v>
      </c>
    </row>
    <row r="1091" spans="1:4" ht="72" customHeight="1">
      <c r="A1091" s="1" t="s">
        <v>4</v>
      </c>
      <c r="B1091" s="1">
        <v>10080</v>
      </c>
      <c r="C1091" s="1" t="s">
        <v>1096</v>
      </c>
      <c r="D1091">
        <f>IMAGE("https://raw.githubusercontent.com/stautonico/pokemon-home-pokedex/main/sprites/pikachu-rock-star.png", 2)</f>
        <v>0</v>
      </c>
    </row>
    <row r="1092" spans="1:4" ht="72" customHeight="1">
      <c r="A1092" s="1" t="s">
        <v>4</v>
      </c>
      <c r="B1092" s="1">
        <v>10081</v>
      </c>
      <c r="C1092" s="1" t="s">
        <v>1097</v>
      </c>
      <c r="D1092">
        <f>IMAGE("https://raw.githubusercontent.com/stautonico/pokemon-home-pokedex/main/sprites/pikachu-belle.png", 2)</f>
        <v>0</v>
      </c>
    </row>
    <row r="1093" spans="1:4" ht="72" customHeight="1">
      <c r="A1093" s="1" t="s">
        <v>4</v>
      </c>
      <c r="B1093" s="1">
        <v>10082</v>
      </c>
      <c r="C1093" s="1" t="s">
        <v>1098</v>
      </c>
      <c r="D1093">
        <f>IMAGE("https://raw.githubusercontent.com/stautonico/pokemon-home-pokedex/main/sprites/pikachu-pop-star.png", 2)</f>
        <v>0</v>
      </c>
    </row>
    <row r="1094" spans="1:4" ht="72" customHeight="1">
      <c r="A1094" s="1" t="s">
        <v>4</v>
      </c>
      <c r="B1094" s="1">
        <v>10083</v>
      </c>
      <c r="C1094" s="1" t="s">
        <v>1099</v>
      </c>
      <c r="D1094">
        <f>IMAGE("https://raw.githubusercontent.com/stautonico/pokemon-home-pokedex/main/sprites/pikachu-phd.png", 2)</f>
        <v>0</v>
      </c>
    </row>
    <row r="1095" spans="1:4" ht="72" customHeight="1">
      <c r="A1095" s="1" t="s">
        <v>4</v>
      </c>
      <c r="B1095" s="1">
        <v>10084</v>
      </c>
      <c r="C1095" s="1" t="s">
        <v>1100</v>
      </c>
      <c r="D1095">
        <f>IMAGE("https://raw.githubusercontent.com/stautonico/pokemon-home-pokedex/main/sprites/pikachu-libre.png", 2)</f>
        <v>0</v>
      </c>
    </row>
    <row r="1096" spans="1:4" ht="72" customHeight="1">
      <c r="A1096" s="1" t="s">
        <v>4</v>
      </c>
      <c r="B1096" s="1">
        <v>10085</v>
      </c>
      <c r="C1096" s="1" t="s">
        <v>1101</v>
      </c>
      <c r="D1096">
        <f>IMAGE("https://raw.githubusercontent.com/stautonico/pokemon-home-pokedex/main/sprites/pikachu-cosplay.png", 2)</f>
        <v>0</v>
      </c>
    </row>
    <row r="1097" spans="1:4" ht="72" customHeight="1">
      <c r="A1097" s="1" t="s">
        <v>4</v>
      </c>
      <c r="B1097" s="1">
        <v>10086</v>
      </c>
      <c r="C1097" s="1" t="s">
        <v>1102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10087</v>
      </c>
      <c r="C1098" s="1" t="s">
        <v>1103</v>
      </c>
      <c r="D1098">
        <f>IMAGE("https://raw.githubusercontent.com/stautonico/pokemon-home-pokedex/main/sprites/camerupt-mega.png", 2)</f>
        <v>0</v>
      </c>
    </row>
    <row r="1099" spans="1:4" ht="72" customHeight="1">
      <c r="A1099" s="1" t="s">
        <v>4</v>
      </c>
      <c r="B1099" s="1">
        <v>10088</v>
      </c>
      <c r="C1099" s="1" t="s">
        <v>1104</v>
      </c>
      <c r="D1099">
        <f>IMAGE("https://raw.githubusercontent.com/stautonico/pokemon-home-pokedex/main/sprites/lopunny-mega.png", 2)</f>
        <v>0</v>
      </c>
    </row>
    <row r="1100" spans="1:4" ht="72" customHeight="1">
      <c r="A1100" s="1" t="s">
        <v>4</v>
      </c>
      <c r="B1100" s="1">
        <v>10089</v>
      </c>
      <c r="C1100" s="1" t="s">
        <v>1105</v>
      </c>
      <c r="D1100">
        <f>IMAGE("https://raw.githubusercontent.com/stautonico/pokemon-home-pokedex/main/sprites/salamence-mega.png", 2)</f>
        <v>0</v>
      </c>
    </row>
    <row r="1101" spans="1:4" ht="72" customHeight="1">
      <c r="A1101" s="1" t="s">
        <v>4</v>
      </c>
      <c r="B1101" s="1">
        <v>10090</v>
      </c>
      <c r="C1101" s="1" t="s">
        <v>1106</v>
      </c>
      <c r="D1101">
        <f>IMAGE("https://raw.githubusercontent.com/stautonico/pokemon-home-pokedex/main/sprites/beedrill-mega.png", 2)</f>
        <v>0</v>
      </c>
    </row>
    <row r="1102" spans="1:4" ht="72" customHeight="1">
      <c r="A1102" s="1" t="s">
        <v>4</v>
      </c>
      <c r="B1102" s="1">
        <v>10091</v>
      </c>
      <c r="C1102" s="1" t="s">
        <v>1107</v>
      </c>
      <c r="D1102">
        <f>IMAGE("https://raw.githubusercontent.com/stautonico/pokemon-home-pokedex/main/sprites/rattata-alola.png", 2)</f>
        <v>0</v>
      </c>
    </row>
    <row r="1103" spans="1:4" ht="72" customHeight="1">
      <c r="A1103" s="1" t="s">
        <v>4</v>
      </c>
      <c r="B1103" s="1">
        <v>10092</v>
      </c>
      <c r="C1103" s="1" t="s">
        <v>1108</v>
      </c>
      <c r="D1103">
        <f>IMAGE("https://raw.githubusercontent.com/stautonico/pokemon-home-pokedex/main/sprites/raticate-alola.png", 2)</f>
        <v>0</v>
      </c>
    </row>
    <row r="1104" spans="1:4" ht="72" customHeight="1">
      <c r="A1104" s="1" t="s">
        <v>4</v>
      </c>
      <c r="B1104" s="1">
        <v>10093</v>
      </c>
      <c r="C1104" s="1" t="s">
        <v>1109</v>
      </c>
      <c r="D1104">
        <f>IMAGE("https://raw.githubusercontent.com/stautonico/pokemon-home-pokedex/main/sprites/raticate-totem-alola.png", 2)</f>
        <v>0</v>
      </c>
    </row>
    <row r="1105" spans="1:4" ht="72" customHeight="1">
      <c r="A1105" s="1" t="s">
        <v>4</v>
      </c>
      <c r="B1105" s="1">
        <v>10094</v>
      </c>
      <c r="C1105" s="1" t="s">
        <v>1110</v>
      </c>
      <c r="D1105">
        <f>IMAGE("https://raw.githubusercontent.com/stautonico/pokemon-home-pokedex/main/sprites/pikachu-original-cap.png", 2)</f>
        <v>0</v>
      </c>
    </row>
    <row r="1106" spans="1:4" ht="72" customHeight="1">
      <c r="A1106" s="1" t="s">
        <v>4</v>
      </c>
      <c r="B1106" s="1">
        <v>10095</v>
      </c>
      <c r="C1106" s="1" t="s">
        <v>1111</v>
      </c>
      <c r="D1106">
        <f>IMAGE("https://raw.githubusercontent.com/stautonico/pokemon-home-pokedex/main/sprites/pikachu-hoenn-cap.png", 2)</f>
        <v>0</v>
      </c>
    </row>
    <row r="1107" spans="1:4" ht="72" customHeight="1">
      <c r="A1107" s="1" t="s">
        <v>4</v>
      </c>
      <c r="B1107" s="1">
        <v>10096</v>
      </c>
      <c r="C1107" s="1" t="s">
        <v>1112</v>
      </c>
      <c r="D1107">
        <f>IMAGE("https://raw.githubusercontent.com/stautonico/pokemon-home-pokedex/main/sprites/pikachu-sinnoh-cap.png", 2)</f>
        <v>0</v>
      </c>
    </row>
    <row r="1108" spans="1:4" ht="72" customHeight="1">
      <c r="A1108" s="1" t="s">
        <v>4</v>
      </c>
      <c r="B1108" s="1">
        <v>10097</v>
      </c>
      <c r="C1108" s="1" t="s">
        <v>1113</v>
      </c>
      <c r="D1108">
        <f>IMAGE("https://raw.githubusercontent.com/stautonico/pokemon-home-pokedex/main/sprites/pikachu-unova-cap.png", 2)</f>
        <v>0</v>
      </c>
    </row>
    <row r="1109" spans="1:4" ht="72" customHeight="1">
      <c r="A1109" s="1" t="s">
        <v>4</v>
      </c>
      <c r="B1109" s="1">
        <v>10098</v>
      </c>
      <c r="C1109" s="1" t="s">
        <v>1114</v>
      </c>
      <c r="D1109">
        <f>IMAGE("https://raw.githubusercontent.com/stautonico/pokemon-home-pokedex/main/sprites/pikachu-kalos-cap.png", 2)</f>
        <v>0</v>
      </c>
    </row>
    <row r="1110" spans="1:4" ht="72" customHeight="1">
      <c r="A1110" s="1" t="s">
        <v>4</v>
      </c>
      <c r="B1110" s="1">
        <v>10099</v>
      </c>
      <c r="C1110" s="1" t="s">
        <v>1115</v>
      </c>
      <c r="D1110">
        <f>IMAGE("https://raw.githubusercontent.com/stautonico/pokemon-home-pokedex/main/sprites/pikachu-alola-cap.png", 2)</f>
        <v>0</v>
      </c>
    </row>
    <row r="1111" spans="1:4" ht="72" customHeight="1">
      <c r="A1111" s="1" t="s">
        <v>4</v>
      </c>
      <c r="B1111" s="1">
        <v>10100</v>
      </c>
      <c r="C1111" s="1" t="s">
        <v>1116</v>
      </c>
      <c r="D1111">
        <f>IMAGE("https://raw.githubusercontent.com/stautonico/pokemon-home-pokedex/main/sprites/raichu-alola.png", 2)</f>
        <v>0</v>
      </c>
    </row>
    <row r="1112" spans="1:4" ht="72" customHeight="1">
      <c r="A1112" s="1" t="s">
        <v>4</v>
      </c>
      <c r="B1112" s="1">
        <v>10101</v>
      </c>
      <c r="C1112" s="1" t="s">
        <v>1117</v>
      </c>
      <c r="D1112">
        <f>IMAGE("https://raw.githubusercontent.com/stautonico/pokemon-home-pokedex/main/sprites/sandshrew-alola.png", 2)</f>
        <v>0</v>
      </c>
    </row>
    <row r="1113" spans="1:4" ht="72" customHeight="1">
      <c r="A1113" s="1" t="s">
        <v>4</v>
      </c>
      <c r="B1113" s="1">
        <v>10102</v>
      </c>
      <c r="C1113" s="1" t="s">
        <v>1118</v>
      </c>
      <c r="D1113">
        <f>IMAGE("https://raw.githubusercontent.com/stautonico/pokemon-home-pokedex/main/sprites/sandslash-alola.png", 2)</f>
        <v>0</v>
      </c>
    </row>
    <row r="1114" spans="1:4" ht="72" customHeight="1">
      <c r="A1114" s="1" t="s">
        <v>4</v>
      </c>
      <c r="B1114" s="1">
        <v>10103</v>
      </c>
      <c r="C1114" s="1" t="s">
        <v>1119</v>
      </c>
      <c r="D1114">
        <f>IMAGE("https://raw.githubusercontent.com/stautonico/pokemon-home-pokedex/main/sprites/vulpix-alola.png", 2)</f>
        <v>0</v>
      </c>
    </row>
    <row r="1115" spans="1:4" ht="72" customHeight="1">
      <c r="A1115" s="1" t="s">
        <v>4</v>
      </c>
      <c r="B1115" s="1">
        <v>10104</v>
      </c>
      <c r="C1115" s="1" t="s">
        <v>1120</v>
      </c>
      <c r="D1115">
        <f>IMAGE("https://raw.githubusercontent.com/stautonico/pokemon-home-pokedex/main/sprites/ninetales-alola.png", 2)</f>
        <v>0</v>
      </c>
    </row>
    <row r="1116" spans="1:4" ht="72" customHeight="1">
      <c r="A1116" s="1" t="s">
        <v>4</v>
      </c>
      <c r="B1116" s="1">
        <v>10105</v>
      </c>
      <c r="C1116" s="1" t="s">
        <v>1121</v>
      </c>
      <c r="D1116">
        <f>IMAGE("https://raw.githubusercontent.com/stautonico/pokemon-home-pokedex/main/sprites/diglett-alola.png", 2)</f>
        <v>0</v>
      </c>
    </row>
    <row r="1117" spans="1:4" ht="72" customHeight="1">
      <c r="A1117" s="1" t="s">
        <v>4</v>
      </c>
      <c r="B1117" s="1">
        <v>10106</v>
      </c>
      <c r="C1117" s="1" t="s">
        <v>1122</v>
      </c>
      <c r="D1117">
        <f>IMAGE("https://raw.githubusercontent.com/stautonico/pokemon-home-pokedex/main/sprites/dugtrio-alola.png", 2)</f>
        <v>0</v>
      </c>
    </row>
    <row r="1118" spans="1:4" ht="72" customHeight="1">
      <c r="A1118" s="1" t="s">
        <v>4</v>
      </c>
      <c r="B1118" s="1">
        <v>10107</v>
      </c>
      <c r="C1118" s="1" t="s">
        <v>1123</v>
      </c>
      <c r="D1118">
        <f>IMAGE("https://raw.githubusercontent.com/stautonico/pokemon-home-pokedex/main/sprites/meowth-alola.png", 2)</f>
        <v>0</v>
      </c>
    </row>
    <row r="1119" spans="1:4" ht="72" customHeight="1">
      <c r="A1119" s="1" t="s">
        <v>4</v>
      </c>
      <c r="B1119" s="1">
        <v>10108</v>
      </c>
      <c r="C1119" s="1" t="s">
        <v>1124</v>
      </c>
      <c r="D1119">
        <f>IMAGE("https://raw.githubusercontent.com/stautonico/pokemon-home-pokedex/main/sprites/persian-alola.png", 2)</f>
        <v>0</v>
      </c>
    </row>
    <row r="1120" spans="1:4" ht="72" customHeight="1">
      <c r="A1120" s="1" t="s">
        <v>4</v>
      </c>
      <c r="B1120" s="1">
        <v>10109</v>
      </c>
      <c r="C1120" s="1" t="s">
        <v>1125</v>
      </c>
      <c r="D1120">
        <f>IMAGE("https://raw.githubusercontent.com/stautonico/pokemon-home-pokedex/main/sprites/geodude-alola.png", 2)</f>
        <v>0</v>
      </c>
    </row>
    <row r="1121" spans="1:4" ht="72" customHeight="1">
      <c r="A1121" s="1" t="s">
        <v>4</v>
      </c>
      <c r="B1121" s="1">
        <v>10110</v>
      </c>
      <c r="C1121" s="1" t="s">
        <v>1126</v>
      </c>
      <c r="D1121">
        <f>IMAGE("https://raw.githubusercontent.com/stautonico/pokemon-home-pokedex/main/sprites/graveler-alola.png", 2)</f>
        <v>0</v>
      </c>
    </row>
    <row r="1122" spans="1:4" ht="72" customHeight="1">
      <c r="A1122" s="1" t="s">
        <v>4</v>
      </c>
      <c r="B1122" s="1">
        <v>10111</v>
      </c>
      <c r="C1122" s="1" t="s">
        <v>1127</v>
      </c>
      <c r="D1122">
        <f>IMAGE("https://raw.githubusercontent.com/stautonico/pokemon-home-pokedex/main/sprites/golem-alola.png", 2)</f>
        <v>0</v>
      </c>
    </row>
    <row r="1123" spans="1:4" ht="72" customHeight="1">
      <c r="A1123" s="1" t="s">
        <v>4</v>
      </c>
      <c r="B1123" s="1">
        <v>10112</v>
      </c>
      <c r="C1123" s="1" t="s">
        <v>1128</v>
      </c>
      <c r="D1123">
        <f>IMAGE("https://raw.githubusercontent.com/stautonico/pokemon-home-pokedex/main/sprites/grimer-alola.png", 2)</f>
        <v>0</v>
      </c>
    </row>
    <row r="1124" spans="1:4" ht="72" customHeight="1">
      <c r="A1124" s="1" t="s">
        <v>4</v>
      </c>
      <c r="B1124" s="1">
        <v>10113</v>
      </c>
      <c r="C1124" s="1" t="s">
        <v>1129</v>
      </c>
      <c r="D1124">
        <f>IMAGE("https://raw.githubusercontent.com/stautonico/pokemon-home-pokedex/main/sprites/muk-alola.png", 2)</f>
        <v>0</v>
      </c>
    </row>
    <row r="1125" spans="1:4" ht="72" customHeight="1">
      <c r="A1125" s="1" t="s">
        <v>4</v>
      </c>
      <c r="B1125" s="1">
        <v>10114</v>
      </c>
      <c r="C1125" s="1" t="s">
        <v>1130</v>
      </c>
      <c r="D1125">
        <f>IMAGE("https://raw.githubusercontent.com/stautonico/pokemon-home-pokedex/main/sprites/exeggutor-alola.png", 2)</f>
        <v>0</v>
      </c>
    </row>
    <row r="1126" spans="1:4" ht="72" customHeight="1">
      <c r="A1126" s="1" t="s">
        <v>4</v>
      </c>
      <c r="B1126" s="1">
        <v>10115</v>
      </c>
      <c r="C1126" s="1" t="s">
        <v>1131</v>
      </c>
      <c r="D1126">
        <f>IMAGE("https://raw.githubusercontent.com/stautonico/pokemon-home-pokedex/main/sprites/marowak-alola.png", 2)</f>
        <v>0</v>
      </c>
    </row>
    <row r="1127" spans="1:4" ht="72" customHeight="1">
      <c r="A1127" s="1" t="s">
        <v>4</v>
      </c>
      <c r="B1127" s="1">
        <v>10116</v>
      </c>
      <c r="C1127" s="1" t="s">
        <v>1132</v>
      </c>
      <c r="D1127">
        <f>IMAGE("https://raw.githubusercontent.com/stautonico/pokemon-home-pokedex/main/sprites/greninja-battle-bond.png", 2)</f>
        <v>0</v>
      </c>
    </row>
    <row r="1128" spans="1:4" ht="72" customHeight="1">
      <c r="A1128" s="1" t="s">
        <v>4</v>
      </c>
      <c r="B1128" s="1">
        <v>10117</v>
      </c>
      <c r="C1128" s="1" t="s">
        <v>1133</v>
      </c>
      <c r="D1128">
        <f>IMAGE("https://raw.githubusercontent.com/stautonico/pokemon-home-pokedex/main/sprites/greninja-ash.png", 2)</f>
        <v>0</v>
      </c>
    </row>
    <row r="1129" spans="1:4" ht="72" customHeight="1">
      <c r="A1129" s="1" t="s">
        <v>4</v>
      </c>
      <c r="B1129" s="1">
        <v>10118</v>
      </c>
      <c r="C1129" s="1" t="s">
        <v>1134</v>
      </c>
      <c r="D1129">
        <f>IMAGE("https://raw.githubusercontent.com/stautonico/pokemon-home-pokedex/main/sprites/zygarde-10-power-construct.png", 2)</f>
        <v>0</v>
      </c>
    </row>
    <row r="1130" spans="1:4" ht="72" customHeight="1">
      <c r="A1130" s="1" t="s">
        <v>4</v>
      </c>
      <c r="B1130" s="1">
        <v>10119</v>
      </c>
      <c r="C1130" s="1" t="s">
        <v>1135</v>
      </c>
      <c r="D1130">
        <f>IMAGE("https://raw.githubusercontent.com/stautonico/pokemon-home-pokedex/main/sprites/zygarde-50-power-construct.png", 2)</f>
        <v>0</v>
      </c>
    </row>
    <row r="1131" spans="1:4" ht="72" customHeight="1">
      <c r="A1131" s="1" t="s">
        <v>4</v>
      </c>
      <c r="B1131" s="1">
        <v>10120</v>
      </c>
      <c r="C1131" s="1" t="s">
        <v>1136</v>
      </c>
      <c r="D1131">
        <f>IMAGE("https://raw.githubusercontent.com/stautonico/pokemon-home-pokedex/main/sprites/zygarde-complete.png", 2)</f>
        <v>0</v>
      </c>
    </row>
    <row r="1132" spans="1:4" ht="72" customHeight="1">
      <c r="A1132" s="1" t="s">
        <v>4</v>
      </c>
      <c r="B1132" s="1">
        <v>10121</v>
      </c>
      <c r="C1132" s="1" t="s">
        <v>1137</v>
      </c>
      <c r="D1132">
        <f>IMAGE("https://raw.githubusercontent.com/stautonico/pokemon-home-pokedex/main/sprites/gumshoos-totem.png", 2)</f>
        <v>0</v>
      </c>
    </row>
    <row r="1133" spans="1:4" ht="72" customHeight="1">
      <c r="A1133" s="1" t="s">
        <v>4</v>
      </c>
      <c r="B1133" s="1">
        <v>10122</v>
      </c>
      <c r="C1133" s="1" t="s">
        <v>1138</v>
      </c>
      <c r="D1133">
        <f>IMAGE("https://raw.githubusercontent.com/stautonico/pokemon-home-pokedex/main/sprites/vikavolt-totem.png", 2)</f>
        <v>0</v>
      </c>
    </row>
    <row r="1134" spans="1:4" ht="72" customHeight="1">
      <c r="A1134" s="1" t="s">
        <v>4</v>
      </c>
      <c r="B1134" s="1">
        <v>10123</v>
      </c>
      <c r="C1134" s="1" t="s">
        <v>1139</v>
      </c>
      <c r="D1134">
        <f>IMAGE("https://raw.githubusercontent.com/stautonico/pokemon-home-pokedex/main/sprites/oricorio-pom-pom.png", 2)</f>
        <v>0</v>
      </c>
    </row>
    <row r="1135" spans="1:4" ht="72" customHeight="1">
      <c r="A1135" s="1" t="s">
        <v>4</v>
      </c>
      <c r="B1135" s="1">
        <v>10124</v>
      </c>
      <c r="C1135" s="1" t="s">
        <v>1140</v>
      </c>
      <c r="D1135">
        <f>IMAGE("https://raw.githubusercontent.com/stautonico/pokemon-home-pokedex/main/sprites/oricorio-pau.png", 2)</f>
        <v>0</v>
      </c>
    </row>
    <row r="1136" spans="1:4" ht="72" customHeight="1">
      <c r="A1136" s="1" t="s">
        <v>4</v>
      </c>
      <c r="B1136" s="1">
        <v>10125</v>
      </c>
      <c r="C1136" s="1" t="s">
        <v>1141</v>
      </c>
      <c r="D1136">
        <f>IMAGE("https://raw.githubusercontent.com/stautonico/pokemon-home-pokedex/main/sprites/oricorio-sensu.png", 2)</f>
        <v>0</v>
      </c>
    </row>
    <row r="1137" spans="1:4" ht="72" customHeight="1">
      <c r="A1137" s="1" t="s">
        <v>4</v>
      </c>
      <c r="B1137" s="1">
        <v>10126</v>
      </c>
      <c r="C1137" s="1" t="s">
        <v>1142</v>
      </c>
      <c r="D1137">
        <f>IMAGE("https://raw.githubusercontent.com/stautonico/pokemon-home-pokedex/main/sprites/lycanroc-midnight.png", 2)</f>
        <v>0</v>
      </c>
    </row>
    <row r="1138" spans="1:4" ht="72" customHeight="1">
      <c r="A1138" s="1" t="s">
        <v>4</v>
      </c>
      <c r="B1138" s="1">
        <v>10127</v>
      </c>
      <c r="C1138" s="1" t="s">
        <v>1143</v>
      </c>
      <c r="D1138">
        <f>IMAGE("https://raw.githubusercontent.com/stautonico/pokemon-home-pokedex/main/sprites/wishiwashi-school.png", 2)</f>
        <v>0</v>
      </c>
    </row>
    <row r="1139" spans="1:4" ht="72" customHeight="1">
      <c r="A1139" s="1" t="s">
        <v>4</v>
      </c>
      <c r="B1139" s="1">
        <v>10128</v>
      </c>
      <c r="C1139" s="1" t="s">
        <v>1144</v>
      </c>
      <c r="D1139" t="s">
        <v>1145</v>
      </c>
    </row>
    <row r="1140" spans="1:4" ht="72" customHeight="1">
      <c r="A1140" s="1" t="s">
        <v>4</v>
      </c>
      <c r="B1140" s="1">
        <v>10129</v>
      </c>
      <c r="C1140" s="1" t="s">
        <v>1146</v>
      </c>
      <c r="D1140" t="s">
        <v>1147</v>
      </c>
    </row>
    <row r="1141" spans="1:4" ht="72" customHeight="1">
      <c r="A1141" s="1" t="s">
        <v>4</v>
      </c>
      <c r="B1141" s="1">
        <v>10130</v>
      </c>
      <c r="C1141" s="1" t="s">
        <v>1148</v>
      </c>
      <c r="D1141">
        <f>IMAGE("https://raw.githubusercontent.com/stautonico/pokemon-home-pokedex/main/sprites/minior-orange-meteor.png", 2)</f>
        <v>0</v>
      </c>
    </row>
    <row r="1142" spans="1:4" ht="72" customHeight="1">
      <c r="A1142" s="1" t="s">
        <v>4</v>
      </c>
      <c r="B1142" s="1">
        <v>10131</v>
      </c>
      <c r="C1142" s="1" t="s">
        <v>1149</v>
      </c>
      <c r="D1142">
        <f>IMAGE("https://raw.githubusercontent.com/stautonico/pokemon-home-pokedex/main/sprites/minior-yellow-meteor.png", 2)</f>
        <v>0</v>
      </c>
    </row>
    <row r="1143" spans="1:4" ht="72" customHeight="1">
      <c r="A1143" s="1" t="s">
        <v>4</v>
      </c>
      <c r="B1143" s="1">
        <v>10132</v>
      </c>
      <c r="C1143" s="1" t="s">
        <v>1150</v>
      </c>
      <c r="D1143">
        <f>IMAGE("https://raw.githubusercontent.com/stautonico/pokemon-home-pokedex/main/sprites/minior-green-meteor.png", 2)</f>
        <v>0</v>
      </c>
    </row>
    <row r="1144" spans="1:4" ht="72" customHeight="1">
      <c r="A1144" s="1" t="s">
        <v>4</v>
      </c>
      <c r="B1144" s="1">
        <v>10133</v>
      </c>
      <c r="C1144" s="1" t="s">
        <v>1151</v>
      </c>
      <c r="D1144">
        <f>IMAGE("https://raw.githubusercontent.com/stautonico/pokemon-home-pokedex/main/sprites/minior-blue-meteor.png", 2)</f>
        <v>0</v>
      </c>
    </row>
    <row r="1145" spans="1:4" ht="72" customHeight="1">
      <c r="A1145" s="1" t="s">
        <v>4</v>
      </c>
      <c r="B1145" s="1">
        <v>10134</v>
      </c>
      <c r="C1145" s="1" t="s">
        <v>1152</v>
      </c>
      <c r="D1145">
        <f>IMAGE("https://raw.githubusercontent.com/stautonico/pokemon-home-pokedex/main/sprites/minior-indigo-meteor.png", 2)</f>
        <v>0</v>
      </c>
    </row>
    <row r="1146" spans="1:4" ht="72" customHeight="1">
      <c r="A1146" s="1" t="s">
        <v>4</v>
      </c>
      <c r="B1146" s="1">
        <v>10135</v>
      </c>
      <c r="C1146" s="1" t="s">
        <v>1153</v>
      </c>
      <c r="D1146">
        <f>IMAGE("https://raw.githubusercontent.com/stautonico/pokemon-home-pokedex/main/sprites/minior-violet-meteor.png", 2)</f>
        <v>0</v>
      </c>
    </row>
    <row r="1147" spans="1:4" ht="72" customHeight="1">
      <c r="A1147" s="1" t="s">
        <v>4</v>
      </c>
      <c r="B1147" s="1">
        <v>10136</v>
      </c>
      <c r="C1147" s="1" t="s">
        <v>1154</v>
      </c>
      <c r="D1147">
        <f>IMAGE("https://raw.githubusercontent.com/stautonico/pokemon-home-pokedex/main/sprites/minior-red.png", 2)</f>
        <v>0</v>
      </c>
    </row>
    <row r="1148" spans="1:4" ht="72" customHeight="1">
      <c r="A1148" s="1" t="s">
        <v>4</v>
      </c>
      <c r="B1148" s="1">
        <v>10137</v>
      </c>
      <c r="C1148" s="1" t="s">
        <v>1155</v>
      </c>
      <c r="D1148">
        <f>IMAGE("https://raw.githubusercontent.com/stautonico/pokemon-home-pokedex/main/sprites/minior-orange.png", 2)</f>
        <v>0</v>
      </c>
    </row>
    <row r="1149" spans="1:4" ht="72" customHeight="1">
      <c r="A1149" s="1" t="s">
        <v>4</v>
      </c>
      <c r="B1149" s="1">
        <v>10138</v>
      </c>
      <c r="C1149" s="1" t="s">
        <v>1156</v>
      </c>
      <c r="D1149">
        <f>IMAGE("https://raw.githubusercontent.com/stautonico/pokemon-home-pokedex/main/sprites/minior-yellow.png", 2)</f>
        <v>0</v>
      </c>
    </row>
    <row r="1150" spans="1:4" ht="72" customHeight="1">
      <c r="A1150" s="1" t="s">
        <v>4</v>
      </c>
      <c r="B1150" s="1">
        <v>10139</v>
      </c>
      <c r="C1150" s="1" t="s">
        <v>1157</v>
      </c>
      <c r="D1150">
        <f>IMAGE("https://raw.githubusercontent.com/stautonico/pokemon-home-pokedex/main/sprites/minior-green.png", 2)</f>
        <v>0</v>
      </c>
    </row>
    <row r="1151" spans="1:4" ht="72" customHeight="1">
      <c r="A1151" s="1" t="s">
        <v>4</v>
      </c>
      <c r="B1151" s="1">
        <v>10140</v>
      </c>
      <c r="C1151" s="1" t="s">
        <v>1158</v>
      </c>
      <c r="D1151">
        <f>IMAGE("https://raw.githubusercontent.com/stautonico/pokemon-home-pokedex/main/sprites/minior-blue.png", 2)</f>
        <v>0</v>
      </c>
    </row>
    <row r="1152" spans="1:4" ht="72" customHeight="1">
      <c r="A1152" s="1" t="s">
        <v>4</v>
      </c>
      <c r="B1152" s="1">
        <v>10141</v>
      </c>
      <c r="C1152" s="1" t="s">
        <v>1159</v>
      </c>
      <c r="D1152">
        <f>IMAGE("https://raw.githubusercontent.com/stautonico/pokemon-home-pokedex/main/sprites/minior-indigo.png", 2)</f>
        <v>0</v>
      </c>
    </row>
    <row r="1153" spans="1:4" ht="72" customHeight="1">
      <c r="A1153" s="1" t="s">
        <v>4</v>
      </c>
      <c r="B1153" s="1">
        <v>10142</v>
      </c>
      <c r="C1153" s="1" t="s">
        <v>1160</v>
      </c>
      <c r="D1153">
        <f>IMAGE("https://raw.githubusercontent.com/stautonico/pokemon-home-pokedex/main/sprites/minior-violet.png", 2)</f>
        <v>0</v>
      </c>
    </row>
    <row r="1154" spans="1:4" ht="72" customHeight="1">
      <c r="A1154" s="1" t="s">
        <v>4</v>
      </c>
      <c r="B1154" s="1">
        <v>10143</v>
      </c>
      <c r="C1154" s="1" t="s">
        <v>1161</v>
      </c>
      <c r="D1154">
        <f>IMAGE("https://raw.githubusercontent.com/stautonico/pokemon-home-pokedex/main/sprites/mimikyu-busted.png", 2)</f>
        <v>0</v>
      </c>
    </row>
    <row r="1155" spans="1:4" ht="72" customHeight="1">
      <c r="A1155" s="1" t="s">
        <v>4</v>
      </c>
      <c r="B1155" s="1">
        <v>10144</v>
      </c>
      <c r="C1155" s="1" t="s">
        <v>1162</v>
      </c>
      <c r="D1155">
        <f>IMAGE("https://raw.githubusercontent.com/stautonico/pokemon-home-pokedex/main/sprites/mimikyu-totem-disguised.png", 2)</f>
        <v>0</v>
      </c>
    </row>
    <row r="1156" spans="1:4" ht="72" customHeight="1">
      <c r="A1156" s="1" t="s">
        <v>4</v>
      </c>
      <c r="B1156" s="1">
        <v>10145</v>
      </c>
      <c r="C1156" s="1" t="s">
        <v>1163</v>
      </c>
      <c r="D1156">
        <f>IMAGE("https://raw.githubusercontent.com/stautonico/pokemon-home-pokedex/main/sprites/mimikyu-totem-busted.png", 2)</f>
        <v>0</v>
      </c>
    </row>
    <row r="1157" spans="1:4" ht="72" customHeight="1">
      <c r="A1157" s="1" t="s">
        <v>4</v>
      </c>
      <c r="B1157" s="1">
        <v>10146</v>
      </c>
      <c r="C1157" s="1" t="s">
        <v>1164</v>
      </c>
      <c r="D1157" t="s">
        <v>1165</v>
      </c>
    </row>
    <row r="1158" spans="1:4" ht="72" customHeight="1">
      <c r="A1158" s="1" t="s">
        <v>4</v>
      </c>
      <c r="B1158" s="1">
        <v>10147</v>
      </c>
      <c r="C1158" s="1" t="s">
        <v>1166</v>
      </c>
      <c r="D1158">
        <f>IMAGE("https://raw.githubusercontent.com/stautonico/pokemon-home-pokedex/main/sprites/magearna-original.png", 2)</f>
        <v>0</v>
      </c>
    </row>
    <row r="1159" spans="1:4" ht="72" customHeight="1">
      <c r="A1159" s="1" t="s">
        <v>4</v>
      </c>
      <c r="B1159" s="1">
        <v>10148</v>
      </c>
      <c r="C1159" s="1" t="s">
        <v>1167</v>
      </c>
      <c r="D1159">
        <f>IMAGE("https://raw.githubusercontent.com/stautonico/pokemon-home-pokedex/main/sprites/pikachu-partner-cap.png", 2)</f>
        <v>0</v>
      </c>
    </row>
    <row r="1160" spans="1:4" ht="72" customHeight="1">
      <c r="A1160" s="1" t="s">
        <v>4</v>
      </c>
      <c r="B1160" s="1">
        <v>10149</v>
      </c>
      <c r="C1160" s="1" t="s">
        <v>1168</v>
      </c>
      <c r="D1160">
        <f>IMAGE("https://raw.githubusercontent.com/stautonico/pokemon-home-pokedex/main/sprites/marowak-totem.png", 2)</f>
        <v>0</v>
      </c>
    </row>
    <row r="1161" spans="1:4" ht="72" customHeight="1">
      <c r="A1161" s="1" t="s">
        <v>4</v>
      </c>
      <c r="B1161" s="1">
        <v>10150</v>
      </c>
      <c r="C1161" s="1" t="s">
        <v>1169</v>
      </c>
      <c r="D1161">
        <f>IMAGE("https://raw.githubusercontent.com/stautonico/pokemon-home-pokedex/main/sprites/ribombee-totem.png", 2)</f>
        <v>0</v>
      </c>
    </row>
    <row r="1162" spans="1:4" ht="72" customHeight="1">
      <c r="A1162" s="1" t="s">
        <v>4</v>
      </c>
      <c r="B1162" s="1">
        <v>10151</v>
      </c>
      <c r="C1162" s="1" t="s">
        <v>1170</v>
      </c>
      <c r="D1162">
        <f>IMAGE("https://raw.githubusercontent.com/stautonico/pokemon-home-pokedex/main/sprites/rockruff-own-tempo.png", 2)</f>
        <v>0</v>
      </c>
    </row>
    <row r="1163" spans="1:4" ht="72" customHeight="1">
      <c r="A1163" s="1" t="s">
        <v>4</v>
      </c>
      <c r="B1163" s="1">
        <v>10152</v>
      </c>
      <c r="C1163" s="1" t="s">
        <v>1171</v>
      </c>
      <c r="D1163">
        <f>IMAGE("https://raw.githubusercontent.com/stautonico/pokemon-home-pokedex/main/sprites/lycanroc-dusk.png", 2)</f>
        <v>0</v>
      </c>
    </row>
    <row r="1164" spans="1:4" ht="72" customHeight="1">
      <c r="A1164" s="1" t="s">
        <v>4</v>
      </c>
      <c r="B1164" s="1">
        <v>10153</v>
      </c>
      <c r="C1164" s="1" t="s">
        <v>1172</v>
      </c>
      <c r="D1164" t="s">
        <v>1173</v>
      </c>
    </row>
    <row r="1165" spans="1:4" ht="72" customHeight="1">
      <c r="A1165" s="1" t="s">
        <v>4</v>
      </c>
      <c r="B1165" s="1">
        <v>10154</v>
      </c>
      <c r="C1165" s="1" t="s">
        <v>1174</v>
      </c>
      <c r="D1165" t="s">
        <v>1175</v>
      </c>
    </row>
    <row r="1166" spans="1:4" ht="72" customHeight="1">
      <c r="A1166" s="1" t="s">
        <v>4</v>
      </c>
      <c r="B1166" s="1">
        <v>10155</v>
      </c>
      <c r="C1166" s="1" t="s">
        <v>1176</v>
      </c>
      <c r="D1166">
        <f>IMAGE("https://raw.githubusercontent.com/stautonico/pokemon-home-pokedex/main/sprites/necrozma-dusk.png", 2)</f>
        <v>0</v>
      </c>
    </row>
    <row r="1167" spans="1:4" ht="72" customHeight="1">
      <c r="A1167" s="1" t="s">
        <v>4</v>
      </c>
      <c r="B1167" s="1">
        <v>10156</v>
      </c>
      <c r="C1167" s="1" t="s">
        <v>1177</v>
      </c>
      <c r="D1167">
        <f>IMAGE("https://raw.githubusercontent.com/stautonico/pokemon-home-pokedex/main/sprites/necrozma-dawn.png", 2)</f>
        <v>0</v>
      </c>
    </row>
    <row r="1168" spans="1:4" ht="72" customHeight="1">
      <c r="A1168" s="1" t="s">
        <v>4</v>
      </c>
      <c r="B1168" s="1">
        <v>10157</v>
      </c>
      <c r="C1168" s="1" t="s">
        <v>1178</v>
      </c>
      <c r="D1168">
        <f>IMAGE("https://raw.githubusercontent.com/stautonico/pokemon-home-pokedex/main/sprites/necrozma-ultra.png", 2)</f>
        <v>0</v>
      </c>
    </row>
    <row r="1169" spans="1:4" ht="72" customHeight="1">
      <c r="A1169" s="1" t="s">
        <v>4</v>
      </c>
      <c r="B1169" s="1">
        <v>10158</v>
      </c>
      <c r="C1169" s="1" t="s">
        <v>1179</v>
      </c>
      <c r="D1169" t="s">
        <v>1180</v>
      </c>
    </row>
    <row r="1170" spans="1:4" ht="72" customHeight="1">
      <c r="A1170" s="1" t="s">
        <v>4</v>
      </c>
      <c r="B1170" s="1">
        <v>10159</v>
      </c>
      <c r="C1170" s="1" t="s">
        <v>1181</v>
      </c>
      <c r="D1170" t="s">
        <v>1182</v>
      </c>
    </row>
    <row r="1171" spans="1:4" ht="72" customHeight="1">
      <c r="A1171" s="1" t="s">
        <v>4</v>
      </c>
      <c r="B1171" s="1">
        <v>10160</v>
      </c>
      <c r="C1171" s="1" t="s">
        <v>1183</v>
      </c>
      <c r="D1171" t="s">
        <v>1184</v>
      </c>
    </row>
    <row r="1172" spans="1:4" ht="72" customHeight="1">
      <c r="A1172" s="1" t="s">
        <v>4</v>
      </c>
      <c r="B1172" s="1">
        <v>10161</v>
      </c>
      <c r="C1172" s="1" t="s">
        <v>1185</v>
      </c>
      <c r="D1172">
        <f>IMAGE("https://raw.githubusercontent.com/stautonico/pokemon-home-pokedex/main/sprites/meowth-galar.png", 2)</f>
        <v>0</v>
      </c>
    </row>
    <row r="1173" spans="1:4" ht="72" customHeight="1">
      <c r="A1173" s="1" t="s">
        <v>4</v>
      </c>
      <c r="B1173" s="1">
        <v>10162</v>
      </c>
      <c r="C1173" s="1" t="s">
        <v>1186</v>
      </c>
      <c r="D1173">
        <f>IMAGE("https://raw.githubusercontent.com/stautonico/pokemon-home-pokedex/main/sprites/ponyta-galar.png", 2)</f>
        <v>0</v>
      </c>
    </row>
    <row r="1174" spans="1:4" ht="72" customHeight="1">
      <c r="A1174" s="1" t="s">
        <v>4</v>
      </c>
      <c r="B1174" s="1">
        <v>10163</v>
      </c>
      <c r="C1174" s="1" t="s">
        <v>1187</v>
      </c>
      <c r="D1174">
        <f>IMAGE("https://raw.githubusercontent.com/stautonico/pokemon-home-pokedex/main/sprites/rapidash-galar.png", 2)</f>
        <v>0</v>
      </c>
    </row>
    <row r="1175" spans="1:4" ht="72" customHeight="1">
      <c r="A1175" s="1" t="s">
        <v>4</v>
      </c>
      <c r="B1175" s="1">
        <v>10164</v>
      </c>
      <c r="C1175" s="1" t="s">
        <v>1188</v>
      </c>
      <c r="D1175">
        <f>IMAGE("https://raw.githubusercontent.com/stautonico/pokemon-home-pokedex/main/sprites/slowpoke-galar.png", 2)</f>
        <v>0</v>
      </c>
    </row>
    <row r="1176" spans="1:4" ht="72" customHeight="1">
      <c r="A1176" s="1" t="s">
        <v>4</v>
      </c>
      <c r="B1176" s="1">
        <v>10165</v>
      </c>
      <c r="C1176" s="1" t="s">
        <v>1189</v>
      </c>
      <c r="D1176">
        <f>IMAGE("https://raw.githubusercontent.com/stautonico/pokemon-home-pokedex/main/sprites/slowbro-galar.png", 2)</f>
        <v>0</v>
      </c>
    </row>
    <row r="1177" spans="1:4" ht="72" customHeight="1">
      <c r="A1177" s="1" t="s">
        <v>4</v>
      </c>
      <c r="B1177" s="1">
        <v>10166</v>
      </c>
      <c r="C1177" s="1" t="s">
        <v>1190</v>
      </c>
      <c r="D1177">
        <f>IMAGE("https://raw.githubusercontent.com/stautonico/pokemon-home-pokedex/main/sprites/farfetchd-galar.png", 2)</f>
        <v>0</v>
      </c>
    </row>
    <row r="1178" spans="1:4" ht="72" customHeight="1">
      <c r="A1178" s="1" t="s">
        <v>4</v>
      </c>
      <c r="B1178" s="1">
        <v>10167</v>
      </c>
      <c r="C1178" s="1" t="s">
        <v>1191</v>
      </c>
      <c r="D1178">
        <f>IMAGE("https://raw.githubusercontent.com/stautonico/pokemon-home-pokedex/main/sprites/weezing-galar.png", 2)</f>
        <v>0</v>
      </c>
    </row>
    <row r="1179" spans="1:4" ht="72" customHeight="1">
      <c r="A1179" s="1" t="s">
        <v>4</v>
      </c>
      <c r="B1179" s="1">
        <v>10168</v>
      </c>
      <c r="C1179" s="1" t="s">
        <v>1192</v>
      </c>
      <c r="D1179">
        <f>IMAGE("https://raw.githubusercontent.com/stautonico/pokemon-home-pokedex/main/sprites/mr-mime-galar.png", 2)</f>
        <v>0</v>
      </c>
    </row>
    <row r="1180" spans="1:4" ht="72" customHeight="1">
      <c r="A1180" s="1" t="s">
        <v>4</v>
      </c>
      <c r="B1180" s="1">
        <v>10169</v>
      </c>
      <c r="C1180" s="1" t="s">
        <v>1193</v>
      </c>
      <c r="D1180">
        <f>IMAGE("https://raw.githubusercontent.com/stautonico/pokemon-home-pokedex/main/sprites/articuno-galar.png", 2)</f>
        <v>0</v>
      </c>
    </row>
    <row r="1181" spans="1:4" ht="72" customHeight="1">
      <c r="A1181" s="1" t="s">
        <v>4</v>
      </c>
      <c r="B1181" s="1">
        <v>10170</v>
      </c>
      <c r="C1181" s="1" t="s">
        <v>1194</v>
      </c>
      <c r="D1181">
        <f>IMAGE("https://raw.githubusercontent.com/stautonico/pokemon-home-pokedex/main/sprites/zapdos-galar.png", 2)</f>
        <v>0</v>
      </c>
    </row>
    <row r="1182" spans="1:4" ht="72" customHeight="1">
      <c r="A1182" s="1" t="s">
        <v>4</v>
      </c>
      <c r="B1182" s="1">
        <v>10171</v>
      </c>
      <c r="C1182" s="1" t="s">
        <v>1195</v>
      </c>
      <c r="D1182">
        <f>IMAGE("https://raw.githubusercontent.com/stautonico/pokemon-home-pokedex/main/sprites/moltres-galar.png", 2)</f>
        <v>0</v>
      </c>
    </row>
    <row r="1183" spans="1:4" ht="72" customHeight="1">
      <c r="A1183" s="1" t="s">
        <v>4</v>
      </c>
      <c r="B1183" s="1">
        <v>10172</v>
      </c>
      <c r="C1183" s="1" t="s">
        <v>1196</v>
      </c>
      <c r="D1183">
        <f>IMAGE("https://raw.githubusercontent.com/stautonico/pokemon-home-pokedex/main/sprites/slowking-galar.png", 2)</f>
        <v>0</v>
      </c>
    </row>
    <row r="1184" spans="1:4" ht="72" customHeight="1">
      <c r="A1184" s="1" t="s">
        <v>4</v>
      </c>
      <c r="B1184" s="1">
        <v>10173</v>
      </c>
      <c r="C1184" s="1" t="s">
        <v>1197</v>
      </c>
      <c r="D1184">
        <f>IMAGE("https://raw.githubusercontent.com/stautonico/pokemon-home-pokedex/main/sprites/corsola-galar.png", 2)</f>
        <v>0</v>
      </c>
    </row>
    <row r="1185" spans="1:4" ht="72" customHeight="1">
      <c r="A1185" s="1" t="s">
        <v>4</v>
      </c>
      <c r="B1185" s="1">
        <v>10174</v>
      </c>
      <c r="C1185" s="1" t="s">
        <v>1198</v>
      </c>
      <c r="D1185">
        <f>IMAGE("https://raw.githubusercontent.com/stautonico/pokemon-home-pokedex/main/sprites/zigzagoon-galar.png", 2)</f>
        <v>0</v>
      </c>
    </row>
    <row r="1186" spans="1:4" ht="72" customHeight="1">
      <c r="A1186" s="1" t="s">
        <v>4</v>
      </c>
      <c r="B1186" s="1">
        <v>10175</v>
      </c>
      <c r="C1186" s="1" t="s">
        <v>1199</v>
      </c>
      <c r="D1186">
        <f>IMAGE("https://raw.githubusercontent.com/stautonico/pokemon-home-pokedex/main/sprites/linoone-galar.png", 2)</f>
        <v>0</v>
      </c>
    </row>
    <row r="1187" spans="1:4" ht="72" customHeight="1">
      <c r="A1187" s="1" t="s">
        <v>4</v>
      </c>
      <c r="B1187" s="1">
        <v>10176</v>
      </c>
      <c r="C1187" s="1" t="s">
        <v>1200</v>
      </c>
      <c r="D1187">
        <f>IMAGE("https://raw.githubusercontent.com/stautonico/pokemon-home-pokedex/main/sprites/darumaka-galar.png", 2)</f>
        <v>0</v>
      </c>
    </row>
    <row r="1188" spans="1:4" ht="72" customHeight="1">
      <c r="A1188" s="1" t="s">
        <v>4</v>
      </c>
      <c r="B1188" s="1">
        <v>10177</v>
      </c>
      <c r="C1188" s="1" t="s">
        <v>1201</v>
      </c>
      <c r="D1188">
        <f>IMAGE("https://raw.githubusercontent.com/stautonico/pokemon-home-pokedex/main/sprites/darmanitan-galar-standard.png", 2)</f>
        <v>0</v>
      </c>
    </row>
    <row r="1189" spans="1:4" ht="72" customHeight="1">
      <c r="A1189" s="1" t="s">
        <v>4</v>
      </c>
      <c r="B1189" s="1">
        <v>10178</v>
      </c>
      <c r="C1189" s="1" t="s">
        <v>1202</v>
      </c>
      <c r="D1189">
        <f>IMAGE("https://raw.githubusercontent.com/stautonico/pokemon-home-pokedex/main/sprites/darmanitan-galar-zen.png", 2)</f>
        <v>0</v>
      </c>
    </row>
    <row r="1190" spans="1:4" ht="72" customHeight="1">
      <c r="A1190" s="1" t="s">
        <v>4</v>
      </c>
      <c r="B1190" s="1">
        <v>10179</v>
      </c>
      <c r="C1190" s="1" t="s">
        <v>1203</v>
      </c>
      <c r="D1190">
        <f>IMAGE("https://raw.githubusercontent.com/stautonico/pokemon-home-pokedex/main/sprites/yamask-galar.png", 2)</f>
        <v>0</v>
      </c>
    </row>
    <row r="1191" spans="1:4" ht="72" customHeight="1">
      <c r="A1191" s="1" t="s">
        <v>4</v>
      </c>
      <c r="B1191" s="1">
        <v>10180</v>
      </c>
      <c r="C1191" s="1" t="s">
        <v>1204</v>
      </c>
      <c r="D1191">
        <f>IMAGE("https://raw.githubusercontent.com/stautonico/pokemon-home-pokedex/main/sprites/stunfisk-galar.png", 2)</f>
        <v>0</v>
      </c>
    </row>
    <row r="1192" spans="1:4" ht="72" customHeight="1">
      <c r="A1192" s="1" t="s">
        <v>4</v>
      </c>
      <c r="B1192" s="1">
        <v>10181</v>
      </c>
      <c r="C1192" s="1" t="s">
        <v>1205</v>
      </c>
      <c r="D1192" t="s">
        <v>1206</v>
      </c>
    </row>
    <row r="1193" spans="1:4" ht="72" customHeight="1">
      <c r="A1193" s="1" t="s">
        <v>4</v>
      </c>
      <c r="B1193" s="1">
        <v>10182</v>
      </c>
      <c r="C1193" s="1" t="s">
        <v>1207</v>
      </c>
      <c r="D1193" t="s">
        <v>1208</v>
      </c>
    </row>
    <row r="1194" spans="1:4" ht="72" customHeight="1">
      <c r="A1194" s="1" t="s">
        <v>4</v>
      </c>
      <c r="B1194" s="1">
        <v>10183</v>
      </c>
      <c r="C1194" s="1" t="s">
        <v>1209</v>
      </c>
      <c r="D1194" t="s">
        <v>1210</v>
      </c>
    </row>
    <row r="1195" spans="1:4" ht="72" customHeight="1">
      <c r="A1195" s="1" t="s">
        <v>4</v>
      </c>
      <c r="B1195" s="1">
        <v>10184</v>
      </c>
      <c r="C1195" s="1" t="s">
        <v>1211</v>
      </c>
      <c r="D1195">
        <f>IMAGE("https://raw.githubusercontent.com/stautonico/pokemon-home-pokedex/main/sprites/toxtricity-low-key.png", 2)</f>
        <v>0</v>
      </c>
    </row>
    <row r="1196" spans="1:4" ht="72" customHeight="1">
      <c r="A1196" s="1" t="s">
        <v>4</v>
      </c>
      <c r="B1196" s="1">
        <v>10185</v>
      </c>
      <c r="C1196" s="1" t="s">
        <v>1212</v>
      </c>
      <c r="D1196">
        <f>IMAGE("https://raw.githubusercontent.com/stautonico/pokemon-home-pokedex/main/sprites/eiscue-noice.png", 2)</f>
        <v>0</v>
      </c>
    </row>
    <row r="1197" spans="1:4" ht="72" customHeight="1">
      <c r="A1197" s="1" t="s">
        <v>4</v>
      </c>
      <c r="B1197" s="1">
        <v>10186</v>
      </c>
      <c r="C1197" s="1" t="s">
        <v>1213</v>
      </c>
      <c r="D1197">
        <f>IMAGE("https://raw.githubusercontent.com/stautonico/pokemon-home-pokedex/main/sprites/indeedee-female.png", 2)</f>
        <v>0</v>
      </c>
    </row>
    <row r="1198" spans="1:4" ht="72" customHeight="1">
      <c r="A1198" s="1" t="s">
        <v>4</v>
      </c>
      <c r="B1198" s="1">
        <v>10187</v>
      </c>
      <c r="C1198" s="1" t="s">
        <v>1214</v>
      </c>
      <c r="D1198" t="s">
        <v>1215</v>
      </c>
    </row>
    <row r="1199" spans="1:4" ht="72" customHeight="1">
      <c r="A1199" s="1" t="s">
        <v>4</v>
      </c>
      <c r="B1199" s="1">
        <v>10188</v>
      </c>
      <c r="C1199" s="1" t="s">
        <v>1216</v>
      </c>
      <c r="D1199">
        <f>IMAGE("https://raw.githubusercontent.com/stautonico/pokemon-home-pokedex/main/sprites/zacian-crowned.png", 2)</f>
        <v>0</v>
      </c>
    </row>
    <row r="1200" spans="1:4" ht="72" customHeight="1">
      <c r="A1200" s="1" t="s">
        <v>4</v>
      </c>
      <c r="B1200" s="1">
        <v>10189</v>
      </c>
      <c r="C1200" s="1" t="s">
        <v>1217</v>
      </c>
      <c r="D1200">
        <f>IMAGE("https://raw.githubusercontent.com/stautonico/pokemon-home-pokedex/main/sprites/zamazenta-crowned.png", 2)</f>
        <v>0</v>
      </c>
    </row>
    <row r="1201" spans="1:4" ht="72" customHeight="1">
      <c r="A1201" s="1" t="s">
        <v>4</v>
      </c>
      <c r="B1201" s="1">
        <v>10190</v>
      </c>
      <c r="C1201" s="1" t="s">
        <v>1218</v>
      </c>
      <c r="D1201">
        <f>IMAGE("https://raw.githubusercontent.com/stautonico/pokemon-home-pokedex/main/sprites/eternatus-eternamax.png", 2)</f>
        <v>0</v>
      </c>
    </row>
    <row r="1202" spans="1:4" ht="72" customHeight="1">
      <c r="A1202" s="1" t="s">
        <v>4</v>
      </c>
      <c r="B1202" s="1">
        <v>10191</v>
      </c>
      <c r="C1202" s="1" t="s">
        <v>1219</v>
      </c>
      <c r="D1202">
        <f>IMAGE("https://raw.githubusercontent.com/stautonico/pokemon-home-pokedex/main/sprites/urshifu-rapid-strike.png", 2)</f>
        <v>0</v>
      </c>
    </row>
    <row r="1203" spans="1:4" ht="72" customHeight="1">
      <c r="A1203" s="1" t="s">
        <v>4</v>
      </c>
      <c r="B1203" s="1">
        <v>10192</v>
      </c>
      <c r="C1203" s="1" t="s">
        <v>1220</v>
      </c>
      <c r="D1203" t="s">
        <v>1221</v>
      </c>
    </row>
    <row r="1204" spans="1:4" ht="72" customHeight="1">
      <c r="A1204" s="1" t="s">
        <v>4</v>
      </c>
      <c r="B1204" s="1">
        <v>10193</v>
      </c>
      <c r="C1204" s="1" t="s">
        <v>1222</v>
      </c>
      <c r="D1204">
        <f>IMAGE("https://raw.githubusercontent.com/stautonico/pokemon-home-pokedex/main/sprites/calyrex-ice.png", 2)</f>
        <v>0</v>
      </c>
    </row>
    <row r="1205" spans="1:4" ht="72" customHeight="1">
      <c r="A1205" s="1" t="s">
        <v>4</v>
      </c>
      <c r="B1205" s="1">
        <v>10194</v>
      </c>
      <c r="C1205" s="1" t="s">
        <v>1223</v>
      </c>
      <c r="D1205">
        <f>IMAGE("https://raw.githubusercontent.com/stautonico/pokemon-home-pokedex/main/sprites/calyrex-shadow.png", 2)</f>
        <v>0</v>
      </c>
    </row>
    <row r="1206" spans="1:4" ht="72" customHeight="1">
      <c r="A1206" s="1" t="s">
        <v>4</v>
      </c>
      <c r="B1206" s="1">
        <v>10195</v>
      </c>
      <c r="C1206" s="1" t="s">
        <v>1224</v>
      </c>
      <c r="D1206">
        <f>IMAGE("https://raw.githubusercontent.com/stautonico/pokemon-home-pokedex/main/sprites/venusaur-gmax.png", 2)</f>
        <v>0</v>
      </c>
    </row>
    <row r="1207" spans="1:4" ht="72" customHeight="1">
      <c r="A1207" s="1" t="s">
        <v>4</v>
      </c>
      <c r="B1207" s="1">
        <v>10196</v>
      </c>
      <c r="C1207" s="1" t="s">
        <v>1225</v>
      </c>
      <c r="D1207">
        <f>IMAGE("https://raw.githubusercontent.com/stautonico/pokemon-home-pokedex/main/sprites/charizard-gmax.png", 2)</f>
        <v>0</v>
      </c>
    </row>
    <row r="1208" spans="1:4" ht="72" customHeight="1">
      <c r="A1208" s="1" t="s">
        <v>4</v>
      </c>
      <c r="B1208" s="1">
        <v>10197</v>
      </c>
      <c r="C1208" s="1" t="s">
        <v>1226</v>
      </c>
      <c r="D1208">
        <f>IMAGE("https://raw.githubusercontent.com/stautonico/pokemon-home-pokedex/main/sprites/blastoise-gmax.png", 2)</f>
        <v>0</v>
      </c>
    </row>
    <row r="1209" spans="1:4" ht="72" customHeight="1">
      <c r="A1209" s="1" t="s">
        <v>4</v>
      </c>
      <c r="B1209" s="1">
        <v>10198</v>
      </c>
      <c r="C1209" s="1" t="s">
        <v>1227</v>
      </c>
      <c r="D1209">
        <f>IMAGE("https://raw.githubusercontent.com/stautonico/pokemon-home-pokedex/main/sprites/butterfree-gmax.png", 2)</f>
        <v>0</v>
      </c>
    </row>
    <row r="1210" spans="1:4" ht="72" customHeight="1">
      <c r="A1210" s="1" t="s">
        <v>4</v>
      </c>
      <c r="B1210" s="1">
        <v>10199</v>
      </c>
      <c r="C1210" s="1" t="s">
        <v>1228</v>
      </c>
      <c r="D1210">
        <f>IMAGE("https://raw.githubusercontent.com/stautonico/pokemon-home-pokedex/main/sprites/pikachu-gmax.png", 2)</f>
        <v>0</v>
      </c>
    </row>
    <row r="1211" spans="1:4" ht="72" customHeight="1">
      <c r="A1211" s="1" t="s">
        <v>4</v>
      </c>
      <c r="B1211" s="1">
        <v>10200</v>
      </c>
      <c r="C1211" s="1" t="s">
        <v>1229</v>
      </c>
      <c r="D1211">
        <f>IMAGE("https://raw.githubusercontent.com/stautonico/pokemon-home-pokedex/main/sprites/meowth-gmax.png", 2)</f>
        <v>0</v>
      </c>
    </row>
    <row r="1212" spans="1:4" ht="72" customHeight="1">
      <c r="A1212" s="1" t="s">
        <v>4</v>
      </c>
      <c r="B1212" s="1">
        <v>10201</v>
      </c>
      <c r="C1212" s="1" t="s">
        <v>1230</v>
      </c>
      <c r="D1212">
        <f>IMAGE("https://raw.githubusercontent.com/stautonico/pokemon-home-pokedex/main/sprites/machamp-gmax.png", 2)</f>
        <v>0</v>
      </c>
    </row>
    <row r="1213" spans="1:4" ht="72" customHeight="1">
      <c r="A1213" s="1" t="s">
        <v>4</v>
      </c>
      <c r="B1213" s="1">
        <v>10202</v>
      </c>
      <c r="C1213" s="1" t="s">
        <v>1231</v>
      </c>
      <c r="D1213">
        <f>IMAGE("https://raw.githubusercontent.com/stautonico/pokemon-home-pokedex/main/sprites/gengar-gmax.png", 2)</f>
        <v>0</v>
      </c>
    </row>
    <row r="1214" spans="1:4" ht="72" customHeight="1">
      <c r="A1214" s="1" t="s">
        <v>4</v>
      </c>
      <c r="B1214" s="1">
        <v>10203</v>
      </c>
      <c r="C1214" s="1" t="s">
        <v>1232</v>
      </c>
      <c r="D1214">
        <f>IMAGE("https://raw.githubusercontent.com/stautonico/pokemon-home-pokedex/main/sprites/kingler-gmax.png", 2)</f>
        <v>0</v>
      </c>
    </row>
    <row r="1215" spans="1:4" ht="72" customHeight="1">
      <c r="A1215" s="1" t="s">
        <v>4</v>
      </c>
      <c r="B1215" s="1">
        <v>10204</v>
      </c>
      <c r="C1215" s="1" t="s">
        <v>1233</v>
      </c>
      <c r="D1215">
        <f>IMAGE("https://raw.githubusercontent.com/stautonico/pokemon-home-pokedex/main/sprites/lapras-gmax.png", 2)</f>
        <v>0</v>
      </c>
    </row>
    <row r="1216" spans="1:4" ht="72" customHeight="1">
      <c r="A1216" s="1" t="s">
        <v>4</v>
      </c>
      <c r="B1216" s="1">
        <v>10205</v>
      </c>
      <c r="C1216" s="1" t="s">
        <v>1234</v>
      </c>
      <c r="D1216">
        <f>IMAGE("https://raw.githubusercontent.com/stautonico/pokemon-home-pokedex/main/sprites/eevee-gmax.png", 2)</f>
        <v>0</v>
      </c>
    </row>
    <row r="1217" spans="1:4" ht="72" customHeight="1">
      <c r="A1217" s="1" t="s">
        <v>4</v>
      </c>
      <c r="B1217" s="1">
        <v>10206</v>
      </c>
      <c r="C1217" s="1" t="s">
        <v>1235</v>
      </c>
      <c r="D1217">
        <f>IMAGE("https://raw.githubusercontent.com/stautonico/pokemon-home-pokedex/main/sprites/snorlax-gmax.png", 2)</f>
        <v>0</v>
      </c>
    </row>
    <row r="1218" spans="1:4" ht="72" customHeight="1">
      <c r="A1218" s="1" t="s">
        <v>4</v>
      </c>
      <c r="B1218" s="1">
        <v>10207</v>
      </c>
      <c r="C1218" s="1" t="s">
        <v>1236</v>
      </c>
      <c r="D1218">
        <f>IMAGE("https://raw.githubusercontent.com/stautonico/pokemon-home-pokedex/main/sprites/garbodor-gmax.png", 2)</f>
        <v>0</v>
      </c>
    </row>
    <row r="1219" spans="1:4" ht="72" customHeight="1">
      <c r="A1219" s="1" t="s">
        <v>4</v>
      </c>
      <c r="B1219" s="1">
        <v>10208</v>
      </c>
      <c r="C1219" s="1" t="s">
        <v>1237</v>
      </c>
      <c r="D1219">
        <f>IMAGE("https://raw.githubusercontent.com/stautonico/pokemon-home-pokedex/main/sprites/melmetal-gmax.png", 2)</f>
        <v>0</v>
      </c>
    </row>
    <row r="1220" spans="1:4" ht="72" customHeight="1">
      <c r="A1220" s="1" t="s">
        <v>4</v>
      </c>
      <c r="B1220" s="1">
        <v>10209</v>
      </c>
      <c r="C1220" s="1" t="s">
        <v>1238</v>
      </c>
      <c r="D1220">
        <f>IMAGE("https://raw.githubusercontent.com/stautonico/pokemon-home-pokedex/main/sprites/rillaboom-gmax.png", 2)</f>
        <v>0</v>
      </c>
    </row>
    <row r="1221" spans="1:4" ht="72" customHeight="1">
      <c r="A1221" s="1" t="s">
        <v>4</v>
      </c>
      <c r="B1221" s="1">
        <v>10210</v>
      </c>
      <c r="C1221" s="1" t="s">
        <v>1239</v>
      </c>
      <c r="D1221">
        <f>IMAGE("https://raw.githubusercontent.com/stautonico/pokemon-home-pokedex/main/sprites/cinderace-gmax.png", 2)</f>
        <v>0</v>
      </c>
    </row>
    <row r="1222" spans="1:4" ht="72" customHeight="1">
      <c r="A1222" s="1" t="s">
        <v>4</v>
      </c>
      <c r="B1222" s="1">
        <v>10211</v>
      </c>
      <c r="C1222" s="1" t="s">
        <v>1240</v>
      </c>
      <c r="D1222">
        <f>IMAGE("https://raw.githubusercontent.com/stautonico/pokemon-home-pokedex/main/sprites/inteleon-gmax.png", 2)</f>
        <v>0</v>
      </c>
    </row>
    <row r="1223" spans="1:4" ht="72" customHeight="1">
      <c r="A1223" s="1" t="s">
        <v>4</v>
      </c>
      <c r="B1223" s="1">
        <v>10212</v>
      </c>
      <c r="C1223" s="1" t="s">
        <v>1241</v>
      </c>
      <c r="D1223">
        <f>IMAGE("https://raw.githubusercontent.com/stautonico/pokemon-home-pokedex/main/sprites/corviknight-gmax.png", 2)</f>
        <v>0</v>
      </c>
    </row>
    <row r="1224" spans="1:4" ht="72" customHeight="1">
      <c r="A1224" s="1" t="s">
        <v>4</v>
      </c>
      <c r="B1224" s="1">
        <v>10213</v>
      </c>
      <c r="C1224" s="1" t="s">
        <v>1242</v>
      </c>
      <c r="D1224">
        <f>IMAGE("https://raw.githubusercontent.com/stautonico/pokemon-home-pokedex/main/sprites/orbeetle-gmax.png", 2)</f>
        <v>0</v>
      </c>
    </row>
    <row r="1225" spans="1:4" ht="72" customHeight="1">
      <c r="A1225" s="1" t="s">
        <v>4</v>
      </c>
      <c r="B1225" s="1">
        <v>10214</v>
      </c>
      <c r="C1225" s="1" t="s">
        <v>1243</v>
      </c>
      <c r="D1225">
        <f>IMAGE("https://raw.githubusercontent.com/stautonico/pokemon-home-pokedex/main/sprites/drednaw-gmax.png", 2)</f>
        <v>0</v>
      </c>
    </row>
    <row r="1226" spans="1:4" ht="72" customHeight="1">
      <c r="A1226" s="1" t="s">
        <v>4</v>
      </c>
      <c r="B1226" s="1">
        <v>10215</v>
      </c>
      <c r="C1226" s="1" t="s">
        <v>1244</v>
      </c>
      <c r="D1226">
        <f>IMAGE("https://raw.githubusercontent.com/stautonico/pokemon-home-pokedex/main/sprites/coalossal-gmax.png", 2)</f>
        <v>0</v>
      </c>
    </row>
    <row r="1227" spans="1:4" ht="72" customHeight="1">
      <c r="A1227" s="1" t="s">
        <v>4</v>
      </c>
      <c r="B1227" s="1">
        <v>10216</v>
      </c>
      <c r="C1227" s="1" t="s">
        <v>1245</v>
      </c>
      <c r="D1227">
        <f>IMAGE("https://raw.githubusercontent.com/stautonico/pokemon-home-pokedex/main/sprites/flapple-gmax.png", 2)</f>
        <v>0</v>
      </c>
    </row>
    <row r="1228" spans="1:4" ht="72" customHeight="1">
      <c r="A1228" s="1" t="s">
        <v>4</v>
      </c>
      <c r="B1228" s="1">
        <v>10217</v>
      </c>
      <c r="C1228" s="1" t="s">
        <v>1246</v>
      </c>
      <c r="D1228">
        <f>IMAGE("https://raw.githubusercontent.com/stautonico/pokemon-home-pokedex/main/sprites/appletun-gmax.png", 2)</f>
        <v>0</v>
      </c>
    </row>
    <row r="1229" spans="1:4" ht="72" customHeight="1">
      <c r="A1229" s="1" t="s">
        <v>4</v>
      </c>
      <c r="B1229" s="1">
        <v>10218</v>
      </c>
      <c r="C1229" s="1" t="s">
        <v>1247</v>
      </c>
      <c r="D1229">
        <f>IMAGE("https://raw.githubusercontent.com/stautonico/pokemon-home-pokedex/main/sprites/sandaconda-gmax.png", 2)</f>
        <v>0</v>
      </c>
    </row>
    <row r="1230" spans="1:4" ht="72" customHeight="1">
      <c r="A1230" s="1" t="s">
        <v>4</v>
      </c>
      <c r="B1230" s="1">
        <v>10219</v>
      </c>
      <c r="C1230" s="1" t="s">
        <v>1248</v>
      </c>
      <c r="D1230">
        <f>IMAGE("https://raw.githubusercontent.com/stautonico/pokemon-home-pokedex/main/sprites/toxtricity-amped-gmax.png", 2)</f>
        <v>0</v>
      </c>
    </row>
    <row r="1231" spans="1:4" ht="72" customHeight="1">
      <c r="A1231" s="1" t="s">
        <v>4</v>
      </c>
      <c r="B1231" s="1">
        <v>10220</v>
      </c>
      <c r="C1231" s="1" t="s">
        <v>1249</v>
      </c>
      <c r="D1231">
        <f>IMAGE("https://raw.githubusercontent.com/stautonico/pokemon-home-pokedex/main/sprites/centiskorch-gmax.png", 2)</f>
        <v>0</v>
      </c>
    </row>
    <row r="1232" spans="1:4" ht="72" customHeight="1">
      <c r="A1232" s="1" t="s">
        <v>4</v>
      </c>
      <c r="B1232" s="1">
        <v>10221</v>
      </c>
      <c r="C1232" s="1" t="s">
        <v>1250</v>
      </c>
      <c r="D1232">
        <f>IMAGE("https://raw.githubusercontent.com/stautonico/pokemon-home-pokedex/main/sprites/hatterene-gmax.png", 2)</f>
        <v>0</v>
      </c>
    </row>
    <row r="1233" spans="1:4" ht="72" customHeight="1">
      <c r="A1233" s="1" t="s">
        <v>4</v>
      </c>
      <c r="B1233" s="1">
        <v>10222</v>
      </c>
      <c r="C1233" s="1" t="s">
        <v>1251</v>
      </c>
      <c r="D1233">
        <f>IMAGE("https://raw.githubusercontent.com/stautonico/pokemon-home-pokedex/main/sprites/grimmsnarl-gmax.png", 2)</f>
        <v>0</v>
      </c>
    </row>
    <row r="1234" spans="1:4" ht="72" customHeight="1">
      <c r="A1234" s="1" t="s">
        <v>4</v>
      </c>
      <c r="B1234" s="1">
        <v>10223</v>
      </c>
      <c r="C1234" s="1" t="s">
        <v>1252</v>
      </c>
      <c r="D1234">
        <f>IMAGE("https://raw.githubusercontent.com/stautonico/pokemon-home-pokedex/main/sprites/alcremie-gmax.png", 2)</f>
        <v>0</v>
      </c>
    </row>
    <row r="1235" spans="1:4" ht="72" customHeight="1">
      <c r="A1235" s="1" t="s">
        <v>4</v>
      </c>
      <c r="B1235" s="1">
        <v>10224</v>
      </c>
      <c r="C1235" s="1" t="s">
        <v>1253</v>
      </c>
      <c r="D1235">
        <f>IMAGE("https://raw.githubusercontent.com/stautonico/pokemon-home-pokedex/main/sprites/copperajah-gmax.png", 2)</f>
        <v>0</v>
      </c>
    </row>
    <row r="1236" spans="1:4" ht="72" customHeight="1">
      <c r="A1236" s="1" t="s">
        <v>4</v>
      </c>
      <c r="B1236" s="1">
        <v>10225</v>
      </c>
      <c r="C1236" s="1" t="s">
        <v>1254</v>
      </c>
      <c r="D1236">
        <f>IMAGE("https://raw.githubusercontent.com/stautonico/pokemon-home-pokedex/main/sprites/duraludon-gmax.png", 2)</f>
        <v>0</v>
      </c>
    </row>
    <row r="1237" spans="1:4" ht="72" customHeight="1">
      <c r="A1237" s="1" t="s">
        <v>4</v>
      </c>
      <c r="B1237" s="1">
        <v>10226</v>
      </c>
      <c r="C1237" s="1" t="s">
        <v>1255</v>
      </c>
      <c r="D1237">
        <f>IMAGE("https://raw.githubusercontent.com/stautonico/pokemon-home-pokedex/main/sprites/urshifu-single-strike-gmax.png", 2)</f>
        <v>0</v>
      </c>
    </row>
    <row r="1238" spans="1:4" ht="72" customHeight="1">
      <c r="A1238" s="1" t="s">
        <v>4</v>
      </c>
      <c r="B1238" s="1">
        <v>10227</v>
      </c>
      <c r="C1238" s="1" t="s">
        <v>1256</v>
      </c>
      <c r="D1238">
        <f>IMAGE("https://raw.githubusercontent.com/stautonico/pokemon-home-pokedex/main/sprites/urshifu-rapid-strike-gmax.png", 2)</f>
        <v>0</v>
      </c>
    </row>
    <row r="1239" spans="1:4" ht="72" customHeight="1">
      <c r="A1239" s="1" t="s">
        <v>4</v>
      </c>
      <c r="B1239" s="1">
        <v>10228</v>
      </c>
      <c r="C1239" s="1" t="s">
        <v>1257</v>
      </c>
      <c r="D1239">
        <f>IMAGE("https://raw.githubusercontent.com/stautonico/pokemon-home-pokedex/main/sprites/toxtricity-low-key-gmax.png", 2)</f>
        <v>0</v>
      </c>
    </row>
    <row r="1240" spans="1:4" ht="72" customHeight="1">
      <c r="A1240" s="1" t="s">
        <v>4</v>
      </c>
      <c r="B1240" s="1">
        <v>10229</v>
      </c>
      <c r="C1240" s="1" t="s">
        <v>1258</v>
      </c>
      <c r="D1240">
        <f>IMAGE("https://raw.githubusercontent.com/stautonico/pokemon-home-pokedex/main/sprites/growlithe-hisui.png", 2)</f>
        <v>0</v>
      </c>
    </row>
    <row r="1241" spans="1:4" ht="72" customHeight="1">
      <c r="A1241" s="1" t="s">
        <v>4</v>
      </c>
      <c r="B1241" s="1">
        <v>10230</v>
      </c>
      <c r="C1241" s="1" t="s">
        <v>1259</v>
      </c>
      <c r="D1241">
        <f>IMAGE("https://raw.githubusercontent.com/stautonico/pokemon-home-pokedex/main/sprites/arcanine-hisui.png", 2)</f>
        <v>0</v>
      </c>
    </row>
    <row r="1242" spans="1:4" ht="72" customHeight="1">
      <c r="A1242" s="1" t="s">
        <v>4</v>
      </c>
      <c r="B1242" s="1">
        <v>10231</v>
      </c>
      <c r="C1242" s="1" t="s">
        <v>1260</v>
      </c>
      <c r="D1242">
        <f>IMAGE("https://raw.githubusercontent.com/stautonico/pokemon-home-pokedex/main/sprites/voltorb-hisui.png", 2)</f>
        <v>0</v>
      </c>
    </row>
    <row r="1243" spans="1:4" ht="72" customHeight="1">
      <c r="A1243" s="1" t="s">
        <v>4</v>
      </c>
      <c r="B1243" s="1">
        <v>10232</v>
      </c>
      <c r="C1243" s="1" t="s">
        <v>1261</v>
      </c>
      <c r="D1243">
        <f>IMAGE("https://raw.githubusercontent.com/stautonico/pokemon-home-pokedex/main/sprites/electrode-hisui.png", 2)</f>
        <v>0</v>
      </c>
    </row>
    <row r="1244" spans="1:4" ht="72" customHeight="1">
      <c r="A1244" s="1" t="s">
        <v>4</v>
      </c>
      <c r="B1244" s="1">
        <v>10233</v>
      </c>
      <c r="C1244" s="1" t="s">
        <v>1262</v>
      </c>
      <c r="D1244">
        <f>IMAGE("https://raw.githubusercontent.com/stautonico/pokemon-home-pokedex/main/sprites/typhlosion-hisui.png", 2)</f>
        <v>0</v>
      </c>
    </row>
    <row r="1245" spans="1:4" ht="72" customHeight="1">
      <c r="A1245" s="1" t="s">
        <v>4</v>
      </c>
      <c r="B1245" s="1">
        <v>10234</v>
      </c>
      <c r="C1245" s="1" t="s">
        <v>1263</v>
      </c>
      <c r="D1245">
        <f>IMAGE("https://raw.githubusercontent.com/stautonico/pokemon-home-pokedex/main/sprites/qwilfish-hisui.png", 2)</f>
        <v>0</v>
      </c>
    </row>
    <row r="1246" spans="1:4" ht="72" customHeight="1">
      <c r="A1246" s="1" t="s">
        <v>4</v>
      </c>
      <c r="B1246" s="1">
        <v>10235</v>
      </c>
      <c r="C1246" s="1" t="s">
        <v>1264</v>
      </c>
      <c r="D1246">
        <f>IMAGE("https://raw.githubusercontent.com/stautonico/pokemon-home-pokedex/main/sprites/sneasel-hisui.png", 2)</f>
        <v>0</v>
      </c>
    </row>
    <row r="1247" spans="1:4" ht="72" customHeight="1">
      <c r="A1247" s="1" t="s">
        <v>4</v>
      </c>
      <c r="B1247" s="1">
        <v>10236</v>
      </c>
      <c r="C1247" s="1" t="s">
        <v>1265</v>
      </c>
      <c r="D1247">
        <f>IMAGE("https://raw.githubusercontent.com/stautonico/pokemon-home-pokedex/main/sprites/samurott-hisui.png", 2)</f>
        <v>0</v>
      </c>
    </row>
    <row r="1248" spans="1:4" ht="72" customHeight="1">
      <c r="A1248" s="1" t="s">
        <v>4</v>
      </c>
      <c r="B1248" s="1">
        <v>10237</v>
      </c>
      <c r="C1248" s="1" t="s">
        <v>1266</v>
      </c>
      <c r="D1248">
        <f>IMAGE("https://raw.githubusercontent.com/stautonico/pokemon-home-pokedex/main/sprites/lilligant-hisui.png", 2)</f>
        <v>0</v>
      </c>
    </row>
    <row r="1249" spans="1:4" ht="72" customHeight="1">
      <c r="A1249" s="1" t="s">
        <v>4</v>
      </c>
      <c r="B1249" s="1">
        <v>10238</v>
      </c>
      <c r="C1249" s="1" t="s">
        <v>1267</v>
      </c>
      <c r="D1249">
        <f>IMAGE("https://raw.githubusercontent.com/stautonico/pokemon-home-pokedex/main/sprites/zorua-hisui.png", 2)</f>
        <v>0</v>
      </c>
    </row>
    <row r="1250" spans="1:4" ht="72" customHeight="1">
      <c r="A1250" s="1" t="s">
        <v>4</v>
      </c>
      <c r="B1250" s="1">
        <v>10239</v>
      </c>
      <c r="C1250" s="1" t="s">
        <v>1268</v>
      </c>
      <c r="D1250">
        <f>IMAGE("https://raw.githubusercontent.com/stautonico/pokemon-home-pokedex/main/sprites/zoroark-hisui.png", 2)</f>
        <v>0</v>
      </c>
    </row>
    <row r="1251" spans="1:4" ht="72" customHeight="1">
      <c r="A1251" s="1" t="s">
        <v>4</v>
      </c>
      <c r="B1251" s="1">
        <v>10240</v>
      </c>
      <c r="C1251" s="1" t="s">
        <v>1269</v>
      </c>
      <c r="D1251">
        <f>IMAGE("https://raw.githubusercontent.com/stautonico/pokemon-home-pokedex/main/sprites/braviary-hisui.png", 2)</f>
        <v>0</v>
      </c>
    </row>
    <row r="1252" spans="1:4" ht="72" customHeight="1">
      <c r="A1252" s="1" t="s">
        <v>4</v>
      </c>
      <c r="B1252" s="1">
        <v>10241</v>
      </c>
      <c r="C1252" s="1" t="s">
        <v>1270</v>
      </c>
      <c r="D1252">
        <f>IMAGE("https://raw.githubusercontent.com/stautonico/pokemon-home-pokedex/main/sprites/sliggoo-hisui.png", 2)</f>
        <v>0</v>
      </c>
    </row>
    <row r="1253" spans="1:4" ht="72" customHeight="1">
      <c r="A1253" s="1" t="s">
        <v>4</v>
      </c>
      <c r="B1253" s="1">
        <v>10242</v>
      </c>
      <c r="C1253" s="1" t="s">
        <v>1271</v>
      </c>
      <c r="D1253">
        <f>IMAGE("https://raw.githubusercontent.com/stautonico/pokemon-home-pokedex/main/sprites/goodra-hisui.png", 2)</f>
        <v>0</v>
      </c>
    </row>
    <row r="1254" spans="1:4" ht="72" customHeight="1">
      <c r="A1254" s="1" t="s">
        <v>4</v>
      </c>
      <c r="B1254" s="1">
        <v>10243</v>
      </c>
      <c r="C1254" s="1" t="s">
        <v>1272</v>
      </c>
      <c r="D1254">
        <f>IMAGE("https://raw.githubusercontent.com/stautonico/pokemon-home-pokedex/main/sprites/avalugg-hisui.png", 2)</f>
        <v>0</v>
      </c>
    </row>
    <row r="1255" spans="1:4" ht="72" customHeight="1">
      <c r="A1255" s="1" t="s">
        <v>4</v>
      </c>
      <c r="B1255" s="1">
        <v>10244</v>
      </c>
      <c r="C1255" s="1" t="s">
        <v>1273</v>
      </c>
      <c r="D1255">
        <f>IMAGE("https://raw.githubusercontent.com/stautonico/pokemon-home-pokedex/main/sprites/decidueye-hisui.png", 2)</f>
        <v>0</v>
      </c>
    </row>
    <row r="1256" spans="1:4" ht="72" customHeight="1">
      <c r="A1256" s="1" t="s">
        <v>4</v>
      </c>
      <c r="B1256" s="1">
        <v>10245</v>
      </c>
      <c r="C1256" s="1" t="s">
        <v>1274</v>
      </c>
      <c r="D1256">
        <f>IMAGE("https://raw.githubusercontent.com/stautonico/pokemon-home-pokedex/main/sprites/dialga-origin.png", 2)</f>
        <v>0</v>
      </c>
    </row>
    <row r="1257" spans="1:4" ht="72" customHeight="1">
      <c r="A1257" s="1" t="s">
        <v>4</v>
      </c>
      <c r="B1257" s="1">
        <v>10246</v>
      </c>
      <c r="C1257" s="1" t="s">
        <v>1275</v>
      </c>
      <c r="D1257">
        <f>IMAGE("https://raw.githubusercontent.com/stautonico/pokemon-home-pokedex/main/sprites/palkia-origin.png", 2)</f>
        <v>0</v>
      </c>
    </row>
    <row r="1258" spans="1:4" ht="72" customHeight="1">
      <c r="A1258" s="1" t="s">
        <v>4</v>
      </c>
      <c r="B1258" s="1">
        <v>10247</v>
      </c>
      <c r="C1258" s="1" t="s">
        <v>1276</v>
      </c>
      <c r="D1258">
        <f>IMAGE("https://raw.githubusercontent.com/stautonico/pokemon-home-pokedex/main/sprites/basculin-white-striped.png", 2)</f>
        <v>0</v>
      </c>
    </row>
    <row r="1259" spans="1:4" ht="72" customHeight="1">
      <c r="A1259" s="1" t="s">
        <v>4</v>
      </c>
      <c r="B1259" s="1">
        <v>10248</v>
      </c>
      <c r="C1259" s="1" t="s">
        <v>1277</v>
      </c>
      <c r="D1259">
        <f>IMAGE("https://raw.githubusercontent.com/stautonico/pokemon-home-pokedex/main/sprites/basculegion-female.png", 2)</f>
        <v>0</v>
      </c>
    </row>
    <row r="1260" spans="1:4" ht="72" customHeight="1">
      <c r="A1260" s="1" t="s">
        <v>4</v>
      </c>
      <c r="B1260" s="1">
        <v>10249</v>
      </c>
      <c r="C1260" s="1" t="s">
        <v>1278</v>
      </c>
      <c r="D1260">
        <f>IMAGE("https://raw.githubusercontent.com/stautonico/pokemon-home-pokedex/main/sprites/enamorus-therian.png", 2)</f>
        <v>0</v>
      </c>
    </row>
    <row r="1261" spans="1:4" ht="72" customHeight="1">
      <c r="A1261" s="1" t="s">
        <v>4</v>
      </c>
      <c r="B1261" s="1">
        <v>10250</v>
      </c>
      <c r="C1261" s="1" t="s">
        <v>1279</v>
      </c>
      <c r="D1261">
        <f>IMAGE("https://raw.githubusercontent.com/stautonico/pokemon-home-pokedex/main/sprites/tauros-paldea-combat-breed.png", 2)</f>
        <v>0</v>
      </c>
    </row>
    <row r="1262" spans="1:4" ht="72" customHeight="1">
      <c r="A1262" s="1" t="s">
        <v>4</v>
      </c>
      <c r="B1262" s="1">
        <v>10251</v>
      </c>
      <c r="C1262" s="1" t="s">
        <v>1280</v>
      </c>
      <c r="D1262">
        <f>IMAGE("https://raw.githubusercontent.com/stautonico/pokemon-home-pokedex/main/sprites/tauros-paldea-blaze-breed.png", 2)</f>
        <v>0</v>
      </c>
    </row>
    <row r="1263" spans="1:4" ht="72" customHeight="1">
      <c r="A1263" s="1" t="s">
        <v>4</v>
      </c>
      <c r="B1263" s="1">
        <v>10252</v>
      </c>
      <c r="C1263" s="1" t="s">
        <v>1281</v>
      </c>
      <c r="D1263">
        <f>IMAGE("https://raw.githubusercontent.com/stautonico/pokemon-home-pokedex/main/sprites/tauros-paldea-aqua-breed.png", 2)</f>
        <v>0</v>
      </c>
    </row>
    <row r="1264" spans="1:4" ht="72" customHeight="1">
      <c r="A1264" s="1" t="s">
        <v>4</v>
      </c>
      <c r="B1264" s="1">
        <v>10253</v>
      </c>
      <c r="C1264" s="1" t="s">
        <v>1282</v>
      </c>
      <c r="D1264">
        <f>IMAGE("https://raw.githubusercontent.com/stautonico/pokemon-home-pokedex/main/sprites/wooper-paldea.png", 2)</f>
        <v>0</v>
      </c>
    </row>
    <row r="1265" spans="1:4" ht="72" customHeight="1">
      <c r="A1265" s="1" t="s">
        <v>4</v>
      </c>
      <c r="B1265" s="1">
        <v>10254</v>
      </c>
      <c r="C1265" s="1" t="s">
        <v>1283</v>
      </c>
      <c r="D1265">
        <f>IMAGE("https://raw.githubusercontent.com/stautonico/pokemon-home-pokedex/main/sprites/oinkologne-female.png", 2)</f>
        <v>0</v>
      </c>
    </row>
    <row r="1266" spans="1:4" ht="72" customHeight="1">
      <c r="A1266" s="1" t="s">
        <v>4</v>
      </c>
      <c r="B1266" s="1">
        <v>10255</v>
      </c>
      <c r="C1266" s="1" t="s">
        <v>1284</v>
      </c>
      <c r="D1266">
        <f>IMAGE("https://raw.githubusercontent.com/stautonico/pokemon-home-pokedex/main/sprites/dudunsparce-three-segment.png", 2)</f>
        <v>0</v>
      </c>
    </row>
    <row r="1267" spans="1:4" ht="72" customHeight="1">
      <c r="A1267" s="1" t="s">
        <v>4</v>
      </c>
      <c r="B1267" s="1">
        <v>10256</v>
      </c>
      <c r="C1267" s="1" t="s">
        <v>1285</v>
      </c>
      <c r="D1267">
        <f>IMAGE("https://raw.githubusercontent.com/stautonico/pokemon-home-pokedex/main/sprites/palafin-hero.png", 2)</f>
        <v>0</v>
      </c>
    </row>
    <row r="1268" spans="1:4" ht="72" customHeight="1">
      <c r="A1268" s="1" t="s">
        <v>4</v>
      </c>
      <c r="B1268" s="1">
        <v>10257</v>
      </c>
      <c r="C1268" s="1" t="s">
        <v>1286</v>
      </c>
      <c r="D1268">
        <f>IMAGE("https://raw.githubusercontent.com/stautonico/pokemon-home-pokedex/main/sprites/maushold-family-of-three.png", 2)</f>
        <v>0</v>
      </c>
    </row>
    <row r="1269" spans="1:4" ht="72" customHeight="1">
      <c r="A1269" s="1" t="s">
        <v>4</v>
      </c>
      <c r="B1269" s="1">
        <v>10258</v>
      </c>
      <c r="C1269" s="1" t="s">
        <v>1287</v>
      </c>
      <c r="D1269">
        <f>IMAGE("https://raw.githubusercontent.com/stautonico/pokemon-home-pokedex/main/sprites/tatsugiri-droopy.png", 2)</f>
        <v>0</v>
      </c>
    </row>
    <row r="1270" spans="1:4" ht="72" customHeight="1">
      <c r="A1270" s="1" t="s">
        <v>4</v>
      </c>
      <c r="B1270" s="1">
        <v>10259</v>
      </c>
      <c r="C1270" s="1" t="s">
        <v>1288</v>
      </c>
      <c r="D1270">
        <f>IMAGE("https://raw.githubusercontent.com/stautonico/pokemon-home-pokedex/main/sprites/tatsugiri-stretchy.png", 2)</f>
        <v>0</v>
      </c>
    </row>
    <row r="1271" spans="1:4" ht="72" customHeight="1">
      <c r="A1271" s="1" t="s">
        <v>4</v>
      </c>
      <c r="B1271" s="1">
        <v>10260</v>
      </c>
      <c r="C1271" s="1" t="s">
        <v>1289</v>
      </c>
      <c r="D1271">
        <f>IMAGE("https://raw.githubusercontent.com/stautonico/pokemon-home-pokedex/main/sprites/squawkabilly-blue-plumage.png", 2)</f>
        <v>0</v>
      </c>
    </row>
    <row r="1272" spans="1:4" ht="72" customHeight="1">
      <c r="A1272" s="1" t="s">
        <v>4</v>
      </c>
      <c r="B1272" s="1">
        <v>10261</v>
      </c>
      <c r="C1272" s="1" t="s">
        <v>1290</v>
      </c>
      <c r="D1272">
        <f>IMAGE("https://raw.githubusercontent.com/stautonico/pokemon-home-pokedex/main/sprites/squawkabilly-yellow-plumage.png", 2)</f>
        <v>0</v>
      </c>
    </row>
    <row r="1273" spans="1:4" ht="72" customHeight="1">
      <c r="A1273" s="1" t="s">
        <v>4</v>
      </c>
      <c r="B1273" s="1">
        <v>10262</v>
      </c>
      <c r="C1273" s="1" t="s">
        <v>1291</v>
      </c>
      <c r="D1273">
        <f>IMAGE("https://raw.githubusercontent.com/stautonico/pokemon-home-pokedex/main/sprites/squawkabilly-white-plumage.png", 2)</f>
        <v>0</v>
      </c>
    </row>
    <row r="1274" spans="1:4" ht="72" customHeight="1">
      <c r="A1274" s="1" t="s">
        <v>4</v>
      </c>
      <c r="B1274" s="1">
        <v>10263</v>
      </c>
      <c r="C1274" s="1" t="s">
        <v>1292</v>
      </c>
      <c r="D1274">
        <f>IMAGE("https://raw.githubusercontent.com/stautonico/pokemon-home-pokedex/main/sprites/gimmighoul-roaming.png", 2)</f>
        <v>0</v>
      </c>
    </row>
    <row r="1275" spans="1:4" ht="72" customHeight="1">
      <c r="A1275" s="1" t="s">
        <v>4</v>
      </c>
      <c r="B1275" s="1">
        <v>10264</v>
      </c>
      <c r="C1275" s="1" t="s">
        <v>1293</v>
      </c>
      <c r="D1275" t="s">
        <v>1294</v>
      </c>
    </row>
    <row r="1276" spans="1:4" ht="72" customHeight="1">
      <c r="A1276" s="1" t="s">
        <v>4</v>
      </c>
      <c r="B1276" s="1">
        <v>10265</v>
      </c>
      <c r="C1276" s="1" t="s">
        <v>1295</v>
      </c>
      <c r="D1276" t="s">
        <v>1296</v>
      </c>
    </row>
    <row r="1277" spans="1:4" ht="72" customHeight="1">
      <c r="A1277" s="1" t="s">
        <v>4</v>
      </c>
      <c r="B1277" s="1">
        <v>10266</v>
      </c>
      <c r="C1277" s="1" t="s">
        <v>1297</v>
      </c>
      <c r="D1277" t="s">
        <v>1298</v>
      </c>
    </row>
    <row r="1278" spans="1:4" ht="72" customHeight="1">
      <c r="A1278" s="1" t="s">
        <v>4</v>
      </c>
      <c r="B1278" s="1">
        <v>10267</v>
      </c>
      <c r="C1278" s="1" t="s">
        <v>1299</v>
      </c>
      <c r="D1278" t="s">
        <v>1300</v>
      </c>
    </row>
    <row r="1279" spans="1:4" ht="72" customHeight="1">
      <c r="A1279" s="1" t="s">
        <v>4</v>
      </c>
      <c r="B1279" s="1">
        <v>10268</v>
      </c>
      <c r="C1279" s="1" t="s">
        <v>1301</v>
      </c>
      <c r="D1279" t="s">
        <v>1302</v>
      </c>
    </row>
    <row r="1280" spans="1:4" ht="72" customHeight="1">
      <c r="A1280" s="1" t="s">
        <v>4</v>
      </c>
      <c r="B1280" s="1">
        <v>10269</v>
      </c>
      <c r="C1280" s="1" t="s">
        <v>1303</v>
      </c>
      <c r="D1280" t="s">
        <v>1304</v>
      </c>
    </row>
    <row r="1281" spans="1:4" ht="72" customHeight="1">
      <c r="A1281" s="1" t="s">
        <v>4</v>
      </c>
      <c r="B1281" s="1">
        <v>10270</v>
      </c>
      <c r="C1281" s="1" t="s">
        <v>1305</v>
      </c>
      <c r="D1281" t="s">
        <v>1306</v>
      </c>
    </row>
    <row r="1282" spans="1:4" ht="72" customHeight="1">
      <c r="A1282" s="1" t="s">
        <v>4</v>
      </c>
      <c r="B1282" s="1">
        <v>10271</v>
      </c>
      <c r="C1282" s="1" t="s">
        <v>1307</v>
      </c>
      <c r="D1282" t="s">
        <v>1308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1309</v>
      </c>
      <c r="I2" s="2" t="s">
        <v>1311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 t="s">
        <v>1312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 t="s">
        <v>1310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1313</v>
      </c>
      <c r="I10" s="2" t="s">
        <v>1314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1315</v>
      </c>
      <c r="I18" s="2" t="s">
        <v>1317</v>
      </c>
    </row>
    <row r="19" spans="2:14" ht="72" customHeight="1">
      <c r="B19">
        <f>IMAGE("https://raw.githubusercontent.com/stautonico/pokemon-home-pokedex/main/sprites/starmie.png", 2)</f>
        <v>0</v>
      </c>
      <c r="C19" t="s">
        <v>1316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1318</v>
      </c>
      <c r="I26" s="2" t="s">
        <v>1319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1320</v>
      </c>
      <c r="I34" s="2" t="s">
        <v>1322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 t="s">
        <v>1321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1323</v>
      </c>
      <c r="I42" s="2" t="s">
        <v>1324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1325</v>
      </c>
      <c r="I50" s="2" t="s">
        <v>1327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 t="s">
        <v>1328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 t="s">
        <v>1326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1329</v>
      </c>
      <c r="I58" s="2" t="s">
        <v>1331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 t="s">
        <v>1330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1332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1333</v>
      </c>
      <c r="I66" s="2" t="s">
        <v>1336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 t="s">
        <v>1334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 t="s">
        <v>1335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1337</v>
      </c>
      <c r="I74" s="2" t="s">
        <v>1340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 t="s">
        <v>1338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 t="s">
        <v>1339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1341</v>
      </c>
      <c r="I82" s="2" t="s">
        <v>1342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 t="s">
        <v>1343</v>
      </c>
      <c r="N84" t="s">
        <v>1344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 t="s">
        <v>1345</v>
      </c>
      <c r="L85">
        <f>IMAGE("https://raw.githubusercontent.com/stautonico/pokemon-home-pokedex/main/sprites/kyurem.png", 2)</f>
        <v>0</v>
      </c>
      <c r="M85" t="s">
        <v>1346</v>
      </c>
      <c r="N85" t="s">
        <v>1347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1348</v>
      </c>
      <c r="I90" s="2" t="s">
        <v>1351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 t="s">
        <v>1349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 t="s">
        <v>1350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 t="s">
        <v>1352</v>
      </c>
      <c r="K94" t="s">
        <v>1353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 t="s">
        <v>1354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1355</v>
      </c>
      <c r="I98" s="2" t="s">
        <v>1359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 t="s">
        <v>1356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 t="s">
        <v>1360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 t="s">
        <v>1357</v>
      </c>
      <c r="C103" t="s">
        <v>1358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 t="s">
        <v>1361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1362</v>
      </c>
      <c r="I106" s="2" t="s">
        <v>1370</v>
      </c>
    </row>
    <row r="107" spans="2:14" ht="72" customHeight="1">
      <c r="B107">
        <f>IMAGE("https://raw.githubusercontent.com/stautonico/pokemon-home-pokedex/main/sprites/dhelmise.png", 2)</f>
        <v>0</v>
      </c>
      <c r="C107" t="s">
        <v>1363</v>
      </c>
      <c r="D107" t="s">
        <v>1364</v>
      </c>
      <c r="E107" t="s">
        <v>1365</v>
      </c>
      <c r="F107" t="s">
        <v>1366</v>
      </c>
      <c r="G107" t="s">
        <v>1367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 t="s">
        <v>1368</v>
      </c>
      <c r="C108" t="s">
        <v>1369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1371</v>
      </c>
      <c r="I114" s="2" t="s">
        <v>1374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 t="s">
        <v>1375</v>
      </c>
      <c r="N115" t="s">
        <v>1376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 t="s">
        <v>1372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 t="s">
        <v>1377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 t="s">
        <v>1378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 t="s">
        <v>1373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1379</v>
      </c>
      <c r="I122" s="2" t="s">
        <v>1382</v>
      </c>
    </row>
    <row r="123" spans="2:14" ht="72" customHeight="1">
      <c r="B123">
        <f>IMAGE("https://raw.githubusercontent.com/stautonico/pokemon-home-pokedex/main/sprites/ursaluna.png", 2)</f>
        <v>0</v>
      </c>
      <c r="C123" t="s">
        <v>1380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 t="s">
        <v>1381</v>
      </c>
      <c r="I123" t="s">
        <v>1383</v>
      </c>
      <c r="J123" t="s">
        <v>1384</v>
      </c>
      <c r="K123" t="s">
        <v>1385</v>
      </c>
      <c r="L123" t="s">
        <v>1386</v>
      </c>
      <c r="M123" t="s">
        <v>1387</v>
      </c>
      <c r="N123" t="s">
        <v>1388</v>
      </c>
    </row>
    <row r="124" spans="2:14" ht="72" customHeight="1">
      <c r="I124" t="s">
        <v>1389</v>
      </c>
      <c r="J124" t="s">
        <v>1390</v>
      </c>
      <c r="K124" t="s">
        <v>1391</v>
      </c>
      <c r="L124" t="s">
        <v>1392</v>
      </c>
      <c r="M124" t="s">
        <v>1393</v>
      </c>
      <c r="N124" t="s">
        <v>1394</v>
      </c>
    </row>
    <row r="125" spans="2:14" ht="72" customHeight="1">
      <c r="I125" t="s">
        <v>1395</v>
      </c>
      <c r="J125" t="s">
        <v>1396</v>
      </c>
      <c r="K125" t="s">
        <v>1397</v>
      </c>
      <c r="L125" t="s">
        <v>1398</v>
      </c>
      <c r="M125" t="s">
        <v>1399</v>
      </c>
      <c r="N125" t="s">
        <v>1400</v>
      </c>
    </row>
    <row r="126" spans="2:14" ht="72" customHeight="1">
      <c r="I126" t="s">
        <v>1401</v>
      </c>
      <c r="J126" t="s">
        <v>1402</v>
      </c>
      <c r="K126" t="s">
        <v>1403</v>
      </c>
      <c r="L126" t="s">
        <v>1404</v>
      </c>
      <c r="M126" t="s">
        <v>1405</v>
      </c>
      <c r="N126" t="s">
        <v>1406</v>
      </c>
    </row>
    <row r="127" spans="2:14" ht="72" customHeight="1">
      <c r="I127" t="s">
        <v>1407</v>
      </c>
      <c r="J127" t="s">
        <v>1408</v>
      </c>
      <c r="K127" t="s">
        <v>1409</v>
      </c>
      <c r="L127" t="s">
        <v>1410</v>
      </c>
      <c r="M127" t="s">
        <v>1411</v>
      </c>
      <c r="N127" t="s">
        <v>1412</v>
      </c>
    </row>
    <row r="130" spans="2:14">
      <c r="B130" s="2" t="s">
        <v>1413</v>
      </c>
      <c r="I130" s="2" t="s">
        <v>1444</v>
      </c>
    </row>
    <row r="131" spans="2:14" ht="72" customHeight="1">
      <c r="B131" t="s">
        <v>1414</v>
      </c>
      <c r="C131" t="s">
        <v>1415</v>
      </c>
      <c r="D131" t="s">
        <v>1416</v>
      </c>
      <c r="E131" t="s">
        <v>1417</v>
      </c>
      <c r="F131" t="s">
        <v>1418</v>
      </c>
      <c r="G131" t="s">
        <v>1419</v>
      </c>
      <c r="I131" t="s">
        <v>1445</v>
      </c>
      <c r="J131" t="s">
        <v>1446</v>
      </c>
      <c r="K131" t="s">
        <v>1447</v>
      </c>
      <c r="L131" t="s">
        <v>1448</v>
      </c>
      <c r="M131" t="s">
        <v>1449</v>
      </c>
      <c r="N131" t="s">
        <v>1450</v>
      </c>
    </row>
    <row r="132" spans="2:14" ht="72" customHeight="1">
      <c r="B132" t="s">
        <v>1420</v>
      </c>
      <c r="C132" t="s">
        <v>1421</v>
      </c>
      <c r="D132" t="s">
        <v>1422</v>
      </c>
      <c r="E132" t="s">
        <v>1423</v>
      </c>
      <c r="F132" t="s">
        <v>1424</v>
      </c>
      <c r="G132" t="s">
        <v>1425</v>
      </c>
      <c r="I132" t="s">
        <v>1451</v>
      </c>
      <c r="J132" t="s">
        <v>1452</v>
      </c>
      <c r="K132" t="s">
        <v>1453</v>
      </c>
      <c r="L132" t="s">
        <v>1454</v>
      </c>
      <c r="M132" t="s">
        <v>1455</v>
      </c>
      <c r="N132" t="s">
        <v>1456</v>
      </c>
    </row>
    <row r="133" spans="2:14" ht="72" customHeight="1">
      <c r="B133" t="s">
        <v>1426</v>
      </c>
      <c r="C133" t="s">
        <v>1427</v>
      </c>
      <c r="D133" t="s">
        <v>1428</v>
      </c>
      <c r="E133" t="s">
        <v>1429</v>
      </c>
      <c r="F133" t="s">
        <v>1430</v>
      </c>
      <c r="G133" t="s">
        <v>1431</v>
      </c>
      <c r="I133" t="s">
        <v>1457</v>
      </c>
      <c r="J133" t="s">
        <v>1458</v>
      </c>
      <c r="K133" t="s">
        <v>1459</v>
      </c>
      <c r="L133" t="s">
        <v>1460</v>
      </c>
      <c r="M133" t="s">
        <v>1461</v>
      </c>
      <c r="N133" t="s">
        <v>1462</v>
      </c>
    </row>
    <row r="134" spans="2:14" ht="72" customHeight="1">
      <c r="B134" t="s">
        <v>1432</v>
      </c>
      <c r="C134" t="s">
        <v>1433</v>
      </c>
      <c r="D134" t="s">
        <v>1434</v>
      </c>
      <c r="E134" t="s">
        <v>1435</v>
      </c>
      <c r="F134" t="s">
        <v>1436</v>
      </c>
      <c r="G134" t="s">
        <v>1437</v>
      </c>
      <c r="I134" t="s">
        <v>1463</v>
      </c>
      <c r="J134" t="s">
        <v>1464</v>
      </c>
      <c r="K134" t="s">
        <v>1465</v>
      </c>
      <c r="L134" t="s">
        <v>1466</v>
      </c>
      <c r="M134" t="s">
        <v>1467</v>
      </c>
      <c r="N134" t="s">
        <v>1468</v>
      </c>
    </row>
    <row r="135" spans="2:14" ht="72" customHeight="1">
      <c r="B135" t="s">
        <v>1438</v>
      </c>
      <c r="C135" t="s">
        <v>1439</v>
      </c>
      <c r="D135" t="s">
        <v>1440</v>
      </c>
      <c r="E135" t="s">
        <v>1441</v>
      </c>
      <c r="F135" t="s">
        <v>1442</v>
      </c>
      <c r="G135" t="s">
        <v>1443</v>
      </c>
      <c r="I135" t="s">
        <v>1469</v>
      </c>
      <c r="J135" t="s">
        <v>1470</v>
      </c>
      <c r="K135" t="s">
        <v>1471</v>
      </c>
      <c r="L135" t="s">
        <v>1472</v>
      </c>
      <c r="M135" t="s">
        <v>1473</v>
      </c>
      <c r="N135" t="s">
        <v>1474</v>
      </c>
    </row>
    <row r="138" spans="2:14">
      <c r="B138" s="2" t="s">
        <v>1475</v>
      </c>
      <c r="I138" s="2" t="s">
        <v>1488</v>
      </c>
    </row>
    <row r="139" spans="2:14" ht="72" customHeight="1">
      <c r="B139" t="s">
        <v>1476</v>
      </c>
      <c r="C139" t="s">
        <v>1477</v>
      </c>
      <c r="D139" t="s">
        <v>1478</v>
      </c>
      <c r="E139" t="s">
        <v>1479</v>
      </c>
      <c r="F139" t="s">
        <v>1480</v>
      </c>
      <c r="G139" t="s">
        <v>1481</v>
      </c>
      <c r="I139" t="s">
        <v>1387</v>
      </c>
      <c r="J139" t="s">
        <v>1489</v>
      </c>
      <c r="K139" t="s">
        <v>1490</v>
      </c>
      <c r="L139" t="s">
        <v>1491</v>
      </c>
      <c r="M139" t="s">
        <v>1492</v>
      </c>
      <c r="N139" t="s">
        <v>1493</v>
      </c>
    </row>
    <row r="140" spans="2:14" ht="72" customHeight="1">
      <c r="B140" t="s">
        <v>1482</v>
      </c>
      <c r="C140" t="s">
        <v>1483</v>
      </c>
      <c r="D140" t="s">
        <v>1484</v>
      </c>
      <c r="E140" t="s">
        <v>1485</v>
      </c>
      <c r="F140" t="s">
        <v>1486</v>
      </c>
      <c r="G140" t="s">
        <v>1487</v>
      </c>
      <c r="I140" t="s">
        <v>1494</v>
      </c>
      <c r="J140" t="s">
        <v>1495</v>
      </c>
      <c r="K140" t="s">
        <v>1496</v>
      </c>
    </row>
    <row r="146" spans="2:14">
      <c r="B146" s="2" t="s">
        <v>1497</v>
      </c>
      <c r="I146" s="2" t="s">
        <v>1525</v>
      </c>
    </row>
    <row r="147" spans="2:14" ht="72" customHeight="1">
      <c r="B147">
        <f>IMAGE("https://raw.githubusercontent.com/stautonico/pokemon-home-pokedex/main/sprites/unown.png", 2)</f>
        <v>0</v>
      </c>
      <c r="C147" t="s">
        <v>1498</v>
      </c>
      <c r="D147" t="s">
        <v>1499</v>
      </c>
      <c r="E147" t="s">
        <v>1500</v>
      </c>
      <c r="F147" t="s">
        <v>1501</v>
      </c>
      <c r="G147" t="s">
        <v>1502</v>
      </c>
      <c r="I147" t="s">
        <v>1326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1526</v>
      </c>
      <c r="N147" t="s">
        <v>1526</v>
      </c>
    </row>
    <row r="148" spans="2:14" ht="72" customHeight="1">
      <c r="B148" t="s">
        <v>1503</v>
      </c>
      <c r="C148" t="s">
        <v>1504</v>
      </c>
      <c r="D148" t="s">
        <v>1505</v>
      </c>
      <c r="E148" t="s">
        <v>1506</v>
      </c>
      <c r="F148" t="s">
        <v>1507</v>
      </c>
      <c r="G148" t="s">
        <v>1508</v>
      </c>
      <c r="I148">
        <f>IMAGE("https://raw.githubusercontent.com/stautonico/pokemon-home-pokedex/main/sprites/burmy.png", 2)</f>
        <v>0</v>
      </c>
      <c r="J148" t="s">
        <v>1527</v>
      </c>
      <c r="K148" t="s">
        <v>1528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1526</v>
      </c>
    </row>
    <row r="149" spans="2:14" ht="72" customHeight="1">
      <c r="B149" t="s">
        <v>1509</v>
      </c>
      <c r="C149" t="s">
        <v>1510</v>
      </c>
      <c r="D149" t="s">
        <v>1511</v>
      </c>
      <c r="E149" t="s">
        <v>1512</v>
      </c>
      <c r="F149" t="s">
        <v>1513</v>
      </c>
      <c r="G149" t="s">
        <v>1514</v>
      </c>
      <c r="I149" t="s">
        <v>1328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1529</v>
      </c>
      <c r="M149" t="s">
        <v>1530</v>
      </c>
      <c r="N149" t="s">
        <v>1526</v>
      </c>
    </row>
    <row r="150" spans="2:14" ht="72" customHeight="1">
      <c r="B150" t="s">
        <v>1515</v>
      </c>
      <c r="C150" t="s">
        <v>1516</v>
      </c>
      <c r="D150" t="s">
        <v>1517</v>
      </c>
      <c r="E150" t="s">
        <v>1518</v>
      </c>
      <c r="F150" t="s">
        <v>1519</v>
      </c>
      <c r="G150" t="s">
        <v>1520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 t="s">
        <v>1521</v>
      </c>
      <c r="C151" t="s">
        <v>1522</v>
      </c>
      <c r="D151" t="s">
        <v>1523</v>
      </c>
      <c r="E151" t="s">
        <v>1524</v>
      </c>
      <c r="I151" t="s">
        <v>1335</v>
      </c>
      <c r="J151">
        <f>IMAGE("https://raw.githubusercontent.com/stautonico/pokemon-home-pokedex/main/sprites/shaymin-sky.png", 2)</f>
        <v>0</v>
      </c>
    </row>
    <row r="154" spans="2:14">
      <c r="B154" s="2" t="s">
        <v>1531</v>
      </c>
      <c r="I154" s="2" t="s">
        <v>1538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1532</v>
      </c>
      <c r="D155" t="s">
        <v>1533</v>
      </c>
      <c r="E155" t="s">
        <v>1534</v>
      </c>
      <c r="F155" t="s">
        <v>1526</v>
      </c>
      <c r="G155" t="s">
        <v>1526</v>
      </c>
      <c r="I155" t="s">
        <v>1352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1526</v>
      </c>
      <c r="N155" t="s">
        <v>1526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1535</v>
      </c>
      <c r="D156" t="s">
        <v>1536</v>
      </c>
      <c r="E156" t="s">
        <v>1537</v>
      </c>
      <c r="F156" t="s">
        <v>1526</v>
      </c>
      <c r="G156" t="s">
        <v>1526</v>
      </c>
      <c r="I156" t="s">
        <v>1353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1526</v>
      </c>
      <c r="N156" t="s">
        <v>1526</v>
      </c>
    </row>
    <row r="157" spans="2:14" ht="72" customHeight="1">
      <c r="B157" t="s">
        <v>1338</v>
      </c>
      <c r="C157">
        <f>IMAGE("https://raw.githubusercontent.com/stautonico/pokemon-home-pokedex/main/sprites/basculin-blue-striped.png", 2)</f>
        <v>0</v>
      </c>
      <c r="D157" t="s">
        <v>1526</v>
      </c>
      <c r="E157" t="s">
        <v>1526</v>
      </c>
      <c r="F157" t="s">
        <v>1526</v>
      </c>
      <c r="G157" t="s">
        <v>1526</v>
      </c>
      <c r="I157">
        <f>IMAGE("https://raw.githubusercontent.com/stautonico/pokemon-home-pokedex/main/sprites/furfrou.png", 2)</f>
        <v>0</v>
      </c>
      <c r="J157" t="s">
        <v>1539</v>
      </c>
      <c r="K157" t="s">
        <v>1540</v>
      </c>
      <c r="L157" t="s">
        <v>1541</v>
      </c>
      <c r="M157" t="s">
        <v>1542</v>
      </c>
      <c r="N157" t="s">
        <v>1526</v>
      </c>
    </row>
    <row r="158" spans="2:14" ht="72" customHeight="1">
      <c r="B158" t="s">
        <v>1343</v>
      </c>
      <c r="C158">
        <f>IMAGE("https://raw.githubusercontent.com/stautonico/pokemon-home-pokedex/main/sprites/tornadus-therian.png", 2)</f>
        <v>0</v>
      </c>
      <c r="D158" t="s">
        <v>1344</v>
      </c>
      <c r="E158">
        <f>IMAGE("https://raw.githubusercontent.com/stautonico/pokemon-home-pokedex/main/sprites/thundurus-therian.png", 2)</f>
        <v>0</v>
      </c>
      <c r="F158" t="s">
        <v>1345</v>
      </c>
      <c r="G158">
        <f>IMAGE("https://raw.githubusercontent.com/stautonico/pokemon-home-pokedex/main/sprites/landorus-therian.png", 2)</f>
        <v>0</v>
      </c>
      <c r="I158" t="s">
        <v>1543</v>
      </c>
      <c r="J158" t="s">
        <v>1544</v>
      </c>
      <c r="K158" t="s">
        <v>1545</v>
      </c>
      <c r="L158" t="s">
        <v>1546</v>
      </c>
      <c r="M158" t="s">
        <v>1547</v>
      </c>
    </row>
    <row r="159" spans="2:14" ht="72" customHeight="1">
      <c r="B159" t="s">
        <v>1346</v>
      </c>
      <c r="C159">
        <f>IMAGE("https://raw.githubusercontent.com/stautonico/pokemon-home-pokedex/main/sprites/keldeo-resolute.png", 2)</f>
        <v>0</v>
      </c>
    </row>
    <row r="162" spans="2:14">
      <c r="B162" s="2" t="s">
        <v>1548</v>
      </c>
      <c r="I162" s="2" t="s">
        <v>1564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1549</v>
      </c>
      <c r="D163" t="s">
        <v>1550</v>
      </c>
      <c r="E163" t="s">
        <v>1551</v>
      </c>
      <c r="F163" t="s">
        <v>1552</v>
      </c>
      <c r="G163" t="s">
        <v>1526</v>
      </c>
      <c r="I163">
        <f>IMAGE("https://raw.githubusercontent.com/stautonico/pokemon-home-pokedex/main/sprites/vivillon.png", 2)</f>
        <v>0</v>
      </c>
      <c r="J163" t="s">
        <v>1565</v>
      </c>
      <c r="K163" t="s">
        <v>1566</v>
      </c>
      <c r="L163" t="s">
        <v>1567</v>
      </c>
      <c r="M163" t="s">
        <v>1568</v>
      </c>
      <c r="N163" t="s">
        <v>1569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1553</v>
      </c>
      <c r="D164" t="s">
        <v>1554</v>
      </c>
      <c r="E164" t="s">
        <v>1555</v>
      </c>
      <c r="F164" t="s">
        <v>1556</v>
      </c>
      <c r="G164" t="s">
        <v>1526</v>
      </c>
      <c r="I164" t="s">
        <v>1570</v>
      </c>
      <c r="J164" t="s">
        <v>1571</v>
      </c>
      <c r="K164" t="s">
        <v>1572</v>
      </c>
      <c r="L164" t="s">
        <v>1573</v>
      </c>
      <c r="M164" t="s">
        <v>1574</v>
      </c>
      <c r="N164" t="s">
        <v>1575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1557</v>
      </c>
      <c r="D165" t="s">
        <v>1558</v>
      </c>
      <c r="E165" t="s">
        <v>1559</v>
      </c>
      <c r="F165" t="s">
        <v>1560</v>
      </c>
      <c r="G165" t="s">
        <v>1526</v>
      </c>
      <c r="I165" t="s">
        <v>1576</v>
      </c>
      <c r="J165" t="s">
        <v>1577</v>
      </c>
      <c r="K165" t="s">
        <v>1578</v>
      </c>
      <c r="L165" t="s">
        <v>1579</v>
      </c>
      <c r="M165" t="s">
        <v>1580</v>
      </c>
      <c r="N165" t="s">
        <v>1581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1526</v>
      </c>
      <c r="E166" t="s">
        <v>1526</v>
      </c>
      <c r="F166" t="s">
        <v>1526</v>
      </c>
      <c r="G166" t="s">
        <v>1526</v>
      </c>
      <c r="I166" t="s">
        <v>1582</v>
      </c>
      <c r="J166" t="s">
        <v>1583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1561</v>
      </c>
      <c r="D167" t="s">
        <v>1354</v>
      </c>
      <c r="E167" t="s">
        <v>1206</v>
      </c>
      <c r="F167" t="s">
        <v>1562</v>
      </c>
      <c r="G167" t="s">
        <v>1563</v>
      </c>
    </row>
    <row r="170" spans="2:14">
      <c r="B170" s="2" t="s">
        <v>1584</v>
      </c>
      <c r="I170" s="2" t="s">
        <v>1586</v>
      </c>
    </row>
    <row r="171" spans="2:14" ht="72" customHeight="1">
      <c r="B171" t="s">
        <v>1356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1526</v>
      </c>
      <c r="G171" t="s">
        <v>1526</v>
      </c>
      <c r="I171" t="s">
        <v>1372</v>
      </c>
      <c r="J171">
        <f>IMAGE("https://raw.githubusercontent.com/stautonico/pokemon-home-pokedex/main/sprites/toxtricity-low-key.png", 2)</f>
        <v>0</v>
      </c>
      <c r="K171" t="s">
        <v>1526</v>
      </c>
      <c r="L171" t="s">
        <v>1526</v>
      </c>
      <c r="M171" t="s">
        <v>1526</v>
      </c>
      <c r="N171" t="s">
        <v>1526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1585</v>
      </c>
      <c r="D172" t="s">
        <v>1357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1526</v>
      </c>
      <c r="I172">
        <f>IMAGE("https://raw.githubusercontent.com/stautonico/pokemon-home-pokedex/main/sprites/sinistea.png", 2)</f>
        <v>0</v>
      </c>
      <c r="J172" t="s">
        <v>1587</v>
      </c>
      <c r="K172">
        <f>IMAGE("https://raw.githubusercontent.com/stautonico/pokemon-home-pokedex/main/sprites/polteageist.png", 2)</f>
        <v>0</v>
      </c>
      <c r="L172" t="s">
        <v>1588</v>
      </c>
      <c r="M172" t="s">
        <v>1526</v>
      </c>
      <c r="N172" t="s">
        <v>1526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 t="s">
        <v>1378</v>
      </c>
      <c r="J173">
        <f>IMAGE("https://raw.githubusercontent.com/stautonico/pokemon-home-pokedex/main/sprites/urshifu-rapid-strike.png", 2)</f>
        <v>0</v>
      </c>
      <c r="K173" t="s">
        <v>1526</v>
      </c>
      <c r="L173" t="s">
        <v>1526</v>
      </c>
      <c r="M173" t="s">
        <v>1526</v>
      </c>
      <c r="N173" t="s">
        <v>1526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1221</v>
      </c>
      <c r="K174" t="s">
        <v>1526</v>
      </c>
      <c r="L174" t="s">
        <v>1526</v>
      </c>
      <c r="M174" t="s">
        <v>1526</v>
      </c>
      <c r="N174" t="s">
        <v>1526</v>
      </c>
    </row>
    <row r="175" spans="2:14" ht="72" customHeight="1">
      <c r="I175" t="s">
        <v>1381</v>
      </c>
      <c r="J175">
        <f>IMAGE("https://raw.githubusercontent.com/stautonico/pokemon-home-pokedex/main/sprites/enamorus-therian.png", 2)</f>
        <v>0</v>
      </c>
      <c r="K175" t="s">
        <v>1526</v>
      </c>
    </row>
    <row r="178" spans="2:14">
      <c r="B178" s="2" t="s">
        <v>1589</v>
      </c>
      <c r="I178" s="2" t="s">
        <v>1617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1590</v>
      </c>
      <c r="D179" t="s">
        <v>1591</v>
      </c>
      <c r="E179" t="s">
        <v>1592</v>
      </c>
      <c r="F179" t="s">
        <v>1593</v>
      </c>
      <c r="G179" t="s">
        <v>1594</v>
      </c>
      <c r="I179" t="s">
        <v>1618</v>
      </c>
      <c r="J179" t="s">
        <v>1619</v>
      </c>
      <c r="K179" t="s">
        <v>1620</v>
      </c>
      <c r="L179" t="s">
        <v>1621</v>
      </c>
      <c r="M179" t="s">
        <v>1622</v>
      </c>
      <c r="N179" t="s">
        <v>1623</v>
      </c>
    </row>
    <row r="180" spans="2:14" ht="72" customHeight="1">
      <c r="B180" t="s">
        <v>1595</v>
      </c>
      <c r="C180" t="s">
        <v>1596</v>
      </c>
      <c r="D180" t="s">
        <v>1597</v>
      </c>
      <c r="E180" t="s">
        <v>1598</v>
      </c>
      <c r="F180" t="s">
        <v>1599</v>
      </c>
      <c r="G180" t="s">
        <v>1600</v>
      </c>
      <c r="I180" t="s">
        <v>1624</v>
      </c>
      <c r="J180" t="s">
        <v>1625</v>
      </c>
      <c r="K180" t="s">
        <v>1626</v>
      </c>
      <c r="L180" t="s">
        <v>1627</v>
      </c>
      <c r="M180" t="s">
        <v>1628</v>
      </c>
      <c r="N180" t="s">
        <v>1629</v>
      </c>
    </row>
    <row r="181" spans="2:14" ht="72" customHeight="1">
      <c r="B181" t="s">
        <v>1601</v>
      </c>
      <c r="C181" t="s">
        <v>1602</v>
      </c>
      <c r="D181" t="s">
        <v>1603</v>
      </c>
      <c r="E181" t="s">
        <v>1604</v>
      </c>
      <c r="F181" t="s">
        <v>1605</v>
      </c>
      <c r="G181" t="s">
        <v>1606</v>
      </c>
      <c r="I181" t="s">
        <v>1630</v>
      </c>
      <c r="J181" t="s">
        <v>1631</v>
      </c>
      <c r="K181" t="s">
        <v>1632</v>
      </c>
      <c r="L181" t="s">
        <v>1633</v>
      </c>
      <c r="M181" t="s">
        <v>1634</v>
      </c>
      <c r="N181" t="s">
        <v>1635</v>
      </c>
    </row>
    <row r="182" spans="2:14" ht="72" customHeight="1">
      <c r="B182" t="s">
        <v>1607</v>
      </c>
      <c r="C182" t="s">
        <v>1608</v>
      </c>
      <c r="D182" t="s">
        <v>1609</v>
      </c>
      <c r="E182" t="s">
        <v>1610</v>
      </c>
      <c r="F182" t="s">
        <v>1611</v>
      </c>
      <c r="G182" t="s">
        <v>1612</v>
      </c>
      <c r="I182" t="s">
        <v>1636</v>
      </c>
      <c r="J182" t="s">
        <v>1637</v>
      </c>
      <c r="K182" t="s">
        <v>1638</v>
      </c>
      <c r="L182" t="s">
        <v>1639</v>
      </c>
      <c r="M182" t="s">
        <v>1640</v>
      </c>
      <c r="N182" t="s">
        <v>1641</v>
      </c>
    </row>
    <row r="183" spans="2:14" ht="72" customHeight="1">
      <c r="B183" t="s">
        <v>1613</v>
      </c>
      <c r="C183" t="s">
        <v>1614</v>
      </c>
      <c r="D183" t="s">
        <v>1615</v>
      </c>
      <c r="E183" t="s">
        <v>1616</v>
      </c>
      <c r="I183" t="s">
        <v>1642</v>
      </c>
      <c r="J183" t="s">
        <v>1643</v>
      </c>
      <c r="K183" t="s">
        <v>1644</v>
      </c>
      <c r="L183" t="s">
        <v>1645</v>
      </c>
    </row>
    <row r="186" spans="2:14">
      <c r="B186" s="2" t="s">
        <v>1646</v>
      </c>
      <c r="I186" s="2" t="s">
        <v>1654</v>
      </c>
    </row>
    <row r="187" spans="2:14" ht="72" customHeight="1">
      <c r="B187" t="s">
        <v>1647</v>
      </c>
      <c r="C187" t="s">
        <v>1648</v>
      </c>
      <c r="D187" t="s">
        <v>1649</v>
      </c>
      <c r="E187" t="s">
        <v>1650</v>
      </c>
      <c r="F187" t="s">
        <v>1651</v>
      </c>
      <c r="G187" t="s">
        <v>1652</v>
      </c>
      <c r="I187">
        <f>IMAGE("https://raw.githubusercontent.com/stautonico/pokemon-home-pokedex/main/sprites/venusaur.png", 2)</f>
        <v>0</v>
      </c>
      <c r="J187" t="s">
        <v>1383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1384</v>
      </c>
    </row>
    <row r="188" spans="2:14" ht="72" customHeight="1">
      <c r="B188" t="s">
        <v>1653</v>
      </c>
      <c r="I188">
        <f>IMAGE("https://raw.githubusercontent.com/stautonico/pokemon-home-pokedex/main/sprites/pikachu.png", 2)</f>
        <v>0</v>
      </c>
      <c r="J188" t="s">
        <v>1387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1405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 t="s">
        <v>1372</v>
      </c>
      <c r="N191">
        <f>IMAGE("https://raw.githubusercontent.com/stautonico/pokemon-home-pokedex/main/sprites/toxtricity-low-key.png", 2)</f>
        <v>0</v>
      </c>
    </row>
    <row r="194" spans="2:14">
      <c r="B194" s="2" t="s">
        <v>1655</v>
      </c>
      <c r="I194" s="2" t="s">
        <v>1656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 t="s">
        <v>1378</v>
      </c>
      <c r="C196">
        <f>IMAGE("https://raw.githubusercontent.com/stautonico/pokemon-home-pokedex/main/sprites/urshifu-rapid-strike.png", 2)</f>
        <v>0</v>
      </c>
    </row>
    <row r="202" spans="2:14">
      <c r="B202" s="2" t="s">
        <v>1657</v>
      </c>
      <c r="I202" s="2" t="s">
        <v>1658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1659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1660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1661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1459">
      <formula>COUNTIF(INDIRECT("Checklist!$A728"), "TRUE") = 1</formula>
    </cfRule>
    <cfRule type="expression" dxfId="1" priority="1460">
      <formula>COUNTIF(INDIRECT("Checklist!$A728"), "FALSE") = 1</formula>
    </cfRule>
    <cfRule type="notContainsBlanks" dxfId="5" priority="1461">
      <formula>LEN(TRIM(B100))&gt;0</formula>
    </cfRule>
  </conditionalFormatting>
  <conditionalFormatting sqref="B101">
    <cfRule type="expression" dxfId="0" priority="1477">
      <formula>COUNTIF(INDIRECT("Checklist!$A734"), "TRUE") = 1</formula>
    </cfRule>
    <cfRule type="expression" dxfId="1" priority="1478">
      <formula>COUNTIF(INDIRECT("Checklist!$A734"), "FALSE") = 1</formula>
    </cfRule>
    <cfRule type="notContainsBlanks" dxfId="5" priority="1479">
      <formula>LEN(TRIM(B101))&gt;0</formula>
    </cfRule>
  </conditionalFormatting>
  <conditionalFormatting sqref="B102">
    <cfRule type="expression" dxfId="0" priority="1495">
      <formula>COUNTIF(INDIRECT("Checklist!$A740"), "TRUE") = 1</formula>
    </cfRule>
    <cfRule type="expression" dxfId="1" priority="1496">
      <formula>COUNTIF(INDIRECT("Checklist!$A740"), "FALSE") = 1</formula>
    </cfRule>
    <cfRule type="notContainsBlanks" dxfId="5" priority="1497">
      <formula>LEN(TRIM(B102))&gt;0</formula>
    </cfRule>
  </conditionalFormatting>
  <conditionalFormatting sqref="B103">
    <cfRule type="expression" dxfId="0" priority="1513">
      <formula>COUNTIF(INDIRECT("Checklist!$None"), "TRUE") = 1</formula>
    </cfRule>
    <cfRule type="expression" dxfId="1" priority="1514">
      <formula>COUNTIF(INDIRECT("Checklist!$None"), "FALSE") = 1</formula>
    </cfRule>
    <cfRule type="notContainsBlanks" dxfId="5" priority="1515">
      <formula>LEN(TRIM(B103))&gt;0</formula>
    </cfRule>
  </conditionalFormatting>
  <conditionalFormatting sqref="B107">
    <cfRule type="expression" dxfId="0" priority="1561">
      <formula>COUNTIF(INDIRECT("Checklist!$A782"), "TRUE") = 1</formula>
    </cfRule>
    <cfRule type="expression" dxfId="1" priority="1562">
      <formula>COUNTIF(INDIRECT("Checklist!$A782"), "FALSE") = 1</formula>
    </cfRule>
    <cfRule type="notContainsBlanks" dxfId="5" priority="1563">
      <formula>LEN(TRIM(B107))&gt;0</formula>
    </cfRule>
  </conditionalFormatting>
  <conditionalFormatting sqref="B108">
    <cfRule type="expression" dxfId="0" priority="1579">
      <formula>COUNTIF(INDIRECT("Checklist!$None"), "TRUE") = 1</formula>
    </cfRule>
    <cfRule type="expression" dxfId="1" priority="1580">
      <formula>COUNTIF(INDIRECT("Checklist!$None"), "FALSE") = 1</formula>
    </cfRule>
    <cfRule type="notContainsBlanks" dxfId="5" priority="1581">
      <formula>LEN(TRIM(B108))&gt;0</formula>
    </cfRule>
  </conditionalFormatting>
  <conditionalFormatting sqref="B109">
    <cfRule type="expression" dxfId="0" priority="1597">
      <formula>COUNTIF(INDIRECT("Checklist!$A794"), "TRUE") = 1</formula>
    </cfRule>
    <cfRule type="expression" dxfId="1" priority="1598">
      <formula>COUNTIF(INDIRECT("Checklist!$A794"), "FALSE") = 1</formula>
    </cfRule>
    <cfRule type="notContainsBlanks" dxfId="5" priority="1599">
      <formula>LEN(TRIM(B109))&gt;0</formula>
    </cfRule>
  </conditionalFormatting>
  <conditionalFormatting sqref="B11">
    <cfRule type="expression" dxfId="0" priority="121">
      <formula>COUNTIF(INDIRECT("Checklist!$A62"), "TRUE") = 1</formula>
    </cfRule>
    <cfRule type="expression" dxfId="1" priority="122">
      <formula>COUNTIF(INDIRECT("Checklist!$A62"), "FALSE") = 1</formula>
    </cfRule>
    <cfRule type="notContainsBlanks" dxfId="5" priority="123">
      <formula>LEN(TRIM(B11))&gt;0</formula>
    </cfRule>
  </conditionalFormatting>
  <conditionalFormatting sqref="B110">
    <cfRule type="expression" dxfId="0" priority="1615">
      <formula>COUNTIF(INDIRECT("Checklist!$A800"), "TRUE") = 1</formula>
    </cfRule>
    <cfRule type="expression" dxfId="1" priority="1616">
      <formula>COUNTIF(INDIRECT("Checklist!$A800"), "FALSE") = 1</formula>
    </cfRule>
    <cfRule type="notContainsBlanks" dxfId="5" priority="1617">
      <formula>LEN(TRIM(B110))&gt;0</formula>
    </cfRule>
  </conditionalFormatting>
  <conditionalFormatting sqref="B111">
    <cfRule type="expression" dxfId="0" priority="1633">
      <formula>COUNTIF(INDIRECT("Checklist!$A806"), "TRUE") = 1</formula>
    </cfRule>
    <cfRule type="expression" dxfId="1" priority="1634">
      <formula>COUNTIF(INDIRECT("Checklist!$A806"), "FALSE") = 1</formula>
    </cfRule>
    <cfRule type="notContainsBlanks" dxfId="5" priority="1635">
      <formula>LEN(TRIM(B111))&gt;0</formula>
    </cfRule>
  </conditionalFormatting>
  <conditionalFormatting sqref="B115">
    <cfRule type="expression" dxfId="0" priority="1681">
      <formula>COUNTIF(INDIRECT("Checklist!$A842"), "TRUE") = 1</formula>
    </cfRule>
    <cfRule type="expression" dxfId="1" priority="1682">
      <formula>COUNTIF(INDIRECT("Checklist!$A842"), "FALSE") = 1</formula>
    </cfRule>
    <cfRule type="notContainsBlanks" dxfId="5" priority="1683">
      <formula>LEN(TRIM(B115))&gt;0</formula>
    </cfRule>
  </conditionalFormatting>
  <conditionalFormatting sqref="B116">
    <cfRule type="expression" dxfId="0" priority="1699">
      <formula>COUNTIF(INDIRECT("Checklist!$A848"), "TRUE") = 1</formula>
    </cfRule>
    <cfRule type="expression" dxfId="1" priority="1700">
      <formula>COUNTIF(INDIRECT("Checklist!$A848"), "FALSE") = 1</formula>
    </cfRule>
    <cfRule type="notContainsBlanks" dxfId="5" priority="1701">
      <formula>LEN(TRIM(B116))&gt;0</formula>
    </cfRule>
  </conditionalFormatting>
  <conditionalFormatting sqref="B117">
    <cfRule type="expression" dxfId="0" priority="1717">
      <formula>COUNTIF(INDIRECT("Checklist!$A854"), "TRUE") = 1</formula>
    </cfRule>
    <cfRule type="expression" dxfId="1" priority="1718">
      <formula>COUNTIF(INDIRECT("Checklist!$A854"), "FALSE") = 1</formula>
    </cfRule>
    <cfRule type="notContainsBlanks" dxfId="5" priority="1719">
      <formula>LEN(TRIM(B117))&gt;0</formula>
    </cfRule>
  </conditionalFormatting>
  <conditionalFormatting sqref="B118">
    <cfRule type="expression" dxfId="0" priority="1735">
      <formula>COUNTIF(INDIRECT("Checklist!$A860"), "TRUE") = 1</formula>
    </cfRule>
    <cfRule type="expression" dxfId="1" priority="1736">
      <formula>COUNTIF(INDIRECT("Checklist!$A860"), "FALSE") = 1</formula>
    </cfRule>
    <cfRule type="notContainsBlanks" dxfId="5" priority="1737">
      <formula>LEN(TRIM(B118))&gt;0</formula>
    </cfRule>
  </conditionalFormatting>
  <conditionalFormatting sqref="B119">
    <cfRule type="expression" dxfId="0" priority="1753">
      <formula>COUNTIF(INDIRECT("Checklist!$A866"), "TRUE") = 1</formula>
    </cfRule>
    <cfRule type="expression" dxfId="1" priority="1754">
      <formula>COUNTIF(INDIRECT("Checklist!$A866"), "FALSE") = 1</formula>
    </cfRule>
    <cfRule type="notContainsBlanks" dxfId="5" priority="1755">
      <formula>LEN(TRIM(B119))&gt;0</formula>
    </cfRule>
  </conditionalFormatting>
  <conditionalFormatting sqref="B12">
    <cfRule type="expression" dxfId="0" priority="139">
      <formula>COUNTIF(INDIRECT("Checklist!$A68"), "TRUE") = 1</formula>
    </cfRule>
    <cfRule type="expression" dxfId="1" priority="140">
      <formula>COUNTIF(INDIRECT("Checklist!$A68"), "FALSE") = 1</formula>
    </cfRule>
    <cfRule type="notContainsBlanks" dxfId="5" priority="141">
      <formula>LEN(TRIM(B12))&gt;0</formula>
    </cfRule>
  </conditionalFormatting>
  <conditionalFormatting sqref="B123">
    <cfRule type="expression" dxfId="0" priority="1801">
      <formula>COUNTIF(INDIRECT("Checklist!$A902"), "TRUE") = 1</formula>
    </cfRule>
    <cfRule type="expression" dxfId="1" priority="1802">
      <formula>COUNTIF(INDIRECT("Checklist!$A902"), "FALSE") = 1</formula>
    </cfRule>
    <cfRule type="notContainsBlanks" dxfId="5" priority="1803">
      <formula>LEN(TRIM(B123))&gt;0</formula>
    </cfRule>
  </conditionalFormatting>
  <conditionalFormatting sqref="B13">
    <cfRule type="expression" dxfId="0" priority="157">
      <formula>COUNTIF(INDIRECT("Checklist!$A74"), "TRUE") = 1</formula>
    </cfRule>
    <cfRule type="expression" dxfId="1" priority="158">
      <formula>COUNTIF(INDIRECT("Checklist!$A74"), "FALSE") = 1</formula>
    </cfRule>
    <cfRule type="notContainsBlanks" dxfId="5" priority="159">
      <formula>LEN(TRIM(B13))&gt;0</formula>
    </cfRule>
  </conditionalFormatting>
  <conditionalFormatting sqref="B131">
    <cfRule type="expression" dxfId="0" priority="1846">
      <formula>COUNTIF(INDIRECT("Checklist!$None"), "TRUE") = 1</formula>
    </cfRule>
    <cfRule type="expression" dxfId="1" priority="1847">
      <formula>COUNTIF(INDIRECT("Checklist!$None"), "FALSE") = 1</formula>
    </cfRule>
    <cfRule type="notContainsBlanks" dxfId="5" priority="1848">
      <formula>LEN(TRIM(B131))&gt;0</formula>
    </cfRule>
  </conditionalFormatting>
  <conditionalFormatting sqref="B132">
    <cfRule type="expression" dxfId="0" priority="1864">
      <formula>COUNTIF(INDIRECT("Checklist!$None"), "TRUE") = 1</formula>
    </cfRule>
    <cfRule type="expression" dxfId="1" priority="1865">
      <formula>COUNTIF(INDIRECT("Checklist!$None"), "FALSE") = 1</formula>
    </cfRule>
    <cfRule type="notContainsBlanks" dxfId="5" priority="1866">
      <formula>LEN(TRIM(B132))&gt;0</formula>
    </cfRule>
  </conditionalFormatting>
  <conditionalFormatting sqref="B133">
    <cfRule type="expression" dxfId="0" priority="1882">
      <formula>COUNTIF(INDIRECT("Checklist!$None"), "TRUE") = 1</formula>
    </cfRule>
    <cfRule type="expression" dxfId="1" priority="1883">
      <formula>COUNTIF(INDIRECT("Checklist!$None"), "FALSE") = 1</formula>
    </cfRule>
    <cfRule type="notContainsBlanks" dxfId="5" priority="1884">
      <formula>LEN(TRIM(B133))&gt;0</formula>
    </cfRule>
  </conditionalFormatting>
  <conditionalFormatting sqref="B134">
    <cfRule type="expression" dxfId="0" priority="1900">
      <formula>COUNTIF(INDIRECT("Checklist!$None"), "TRUE") = 1</formula>
    </cfRule>
    <cfRule type="expression" dxfId="1" priority="1901">
      <formula>COUNTIF(INDIRECT("Checklist!$None"), "FALSE") = 1</formula>
    </cfRule>
    <cfRule type="notContainsBlanks" dxfId="5" priority="1902">
      <formula>LEN(TRIM(B134))&gt;0</formula>
    </cfRule>
  </conditionalFormatting>
  <conditionalFormatting sqref="B135">
    <cfRule type="expression" dxfId="0" priority="1918">
      <formula>COUNTIF(INDIRECT("Checklist!$None"), "TRUE") = 1</formula>
    </cfRule>
    <cfRule type="expression" dxfId="1" priority="1919">
      <formula>COUNTIF(INDIRECT("Checklist!$None"), "FALSE") = 1</formula>
    </cfRule>
    <cfRule type="notContainsBlanks" dxfId="5" priority="1920">
      <formula>LEN(TRIM(B135))&gt;0</formula>
    </cfRule>
  </conditionalFormatting>
  <conditionalFormatting sqref="B139">
    <cfRule type="expression" dxfId="0" priority="1966">
      <formula>COUNTIF(INDIRECT("Checklist!$None"), "TRUE") = 1</formula>
    </cfRule>
    <cfRule type="expression" dxfId="1" priority="1967">
      <formula>COUNTIF(INDIRECT("Checklist!$None"), "FALSE") = 1</formula>
    </cfRule>
    <cfRule type="notContainsBlanks" dxfId="5" priority="1968">
      <formula>LEN(TRIM(B139))&gt;0</formula>
    </cfRule>
  </conditionalFormatting>
  <conditionalFormatting sqref="B14">
    <cfRule type="expression" dxfId="0" priority="175">
      <formula>COUNTIF(INDIRECT("Checklist!$A80"), "TRUE") = 1</formula>
    </cfRule>
    <cfRule type="expression" dxfId="1" priority="176">
      <formula>COUNTIF(INDIRECT("Checklist!$A80"), "FALSE") = 1</formula>
    </cfRule>
    <cfRule type="notContainsBlanks" dxfId="5" priority="177">
      <formula>LEN(TRIM(B14))&gt;0</formula>
    </cfRule>
  </conditionalFormatting>
  <conditionalFormatting sqref="B140">
    <cfRule type="expression" dxfId="0" priority="1984">
      <formula>COUNTIF(INDIRECT("Checklist!$None"), "TRUE") = 1</formula>
    </cfRule>
    <cfRule type="expression" dxfId="1" priority="1985">
      <formula>COUNTIF(INDIRECT("Checklist!$None"), "FALSE") = 1</formula>
    </cfRule>
    <cfRule type="notContainsBlanks" dxfId="5" priority="1986">
      <formula>LEN(TRIM(B140))&gt;0</formula>
    </cfRule>
  </conditionalFormatting>
  <conditionalFormatting sqref="B147">
    <cfRule type="expression" dxfId="0" priority="2011">
      <formula>COUNTIF(INDIRECT("Checklist!$A202"), "TRUE") = 1</formula>
    </cfRule>
    <cfRule type="expression" dxfId="1" priority="2012">
      <formula>COUNTIF(INDIRECT("Checklist!$A202"), "FALSE") = 1</formula>
    </cfRule>
    <cfRule type="notContainsBlanks" dxfId="5" priority="2013">
      <formula>LEN(TRIM(B147))&gt;0</formula>
    </cfRule>
  </conditionalFormatting>
  <conditionalFormatting sqref="B148">
    <cfRule type="expression" dxfId="0" priority="2029">
      <formula>COUNTIF(INDIRECT("Checklist!$None"), "TRUE") = 1</formula>
    </cfRule>
    <cfRule type="expression" dxfId="1" priority="2030">
      <formula>COUNTIF(INDIRECT("Checklist!$None"), "FALSE") = 1</formula>
    </cfRule>
    <cfRule type="notContainsBlanks" dxfId="5" priority="2031">
      <formula>LEN(TRIM(B148))&gt;0</formula>
    </cfRule>
  </conditionalFormatting>
  <conditionalFormatting sqref="B149">
    <cfRule type="expression" dxfId="0" priority="2047">
      <formula>COUNTIF(INDIRECT("Checklist!$None"), "TRUE") = 1</formula>
    </cfRule>
    <cfRule type="expression" dxfId="1" priority="2048">
      <formula>COUNTIF(INDIRECT("Checklist!$None"), "FALSE") = 1</formula>
    </cfRule>
    <cfRule type="notContainsBlanks" dxfId="5" priority="2049">
      <formula>LEN(TRIM(B149))&gt;0</formula>
    </cfRule>
  </conditionalFormatting>
  <conditionalFormatting sqref="B15">
    <cfRule type="expression" dxfId="0" priority="193">
      <formula>COUNTIF(INDIRECT("Checklist!$A86"), "TRUE") = 1</formula>
    </cfRule>
    <cfRule type="expression" dxfId="1" priority="194">
      <formula>COUNTIF(INDIRECT("Checklist!$A86"), "FALSE") = 1</formula>
    </cfRule>
    <cfRule type="notContainsBlanks" dxfId="5" priority="195">
      <formula>LEN(TRIM(B15))&gt;0</formula>
    </cfRule>
  </conditionalFormatting>
  <conditionalFormatting sqref="B150">
    <cfRule type="expression" dxfId="0" priority="2065">
      <formula>COUNTIF(INDIRECT("Checklist!$None"), "TRUE") = 1</formula>
    </cfRule>
    <cfRule type="expression" dxfId="1" priority="2066">
      <formula>COUNTIF(INDIRECT("Checklist!$None"), "FALSE") = 1</formula>
    </cfRule>
    <cfRule type="notContainsBlanks" dxfId="5" priority="2067">
      <formula>LEN(TRIM(B150))&gt;0</formula>
    </cfRule>
  </conditionalFormatting>
  <conditionalFormatting sqref="B151">
    <cfRule type="expression" dxfId="0" priority="2083">
      <formula>COUNTIF(INDIRECT("Checklist!$None"), "TRUE") = 1</formula>
    </cfRule>
    <cfRule type="expression" dxfId="1" priority="2084">
      <formula>COUNTIF(INDIRECT("Checklist!$None"), "FALSE") = 1</formula>
    </cfRule>
    <cfRule type="notContainsBlanks" dxfId="5" priority="2085">
      <formula>LEN(TRIM(B151))&gt;0</formula>
    </cfRule>
  </conditionalFormatting>
  <conditionalFormatting sqref="B155">
    <cfRule type="expression" dxfId="0" priority="2121">
      <formula>COUNTIF(INDIRECT("Checklist!$A586"), "TRUE") = 1</formula>
    </cfRule>
    <cfRule type="expression" dxfId="1" priority="2122">
      <formula>COUNTIF(INDIRECT("Checklist!$A586"), "FALSE") = 1</formula>
    </cfRule>
    <cfRule type="notContainsBlanks" dxfId="5" priority="2123">
      <formula>LEN(TRIM(B155))&gt;0</formula>
    </cfRule>
  </conditionalFormatting>
  <conditionalFormatting sqref="B156">
    <cfRule type="expression" dxfId="0" priority="2139">
      <formula>COUNTIF(INDIRECT("Checklist!$A587"), "TRUE") = 1</formula>
    </cfRule>
    <cfRule type="expression" dxfId="1" priority="2140">
      <formula>COUNTIF(INDIRECT("Checklist!$A587"), "FALSE") = 1</formula>
    </cfRule>
    <cfRule type="notContainsBlanks" dxfId="5" priority="2141">
      <formula>LEN(TRIM(B156))&gt;0</formula>
    </cfRule>
  </conditionalFormatting>
  <conditionalFormatting sqref="B157">
    <cfRule type="expression" dxfId="0" priority="2157">
      <formula>COUNTIF(INDIRECT("Checklist!$None"), "TRUE") = 1</formula>
    </cfRule>
    <cfRule type="expression" dxfId="1" priority="2158">
      <formula>COUNTIF(INDIRECT("Checklist!$None"), "FALSE") = 1</formula>
    </cfRule>
    <cfRule type="notContainsBlanks" dxfId="5" priority="2159">
      <formula>LEN(TRIM(B157))&gt;0</formula>
    </cfRule>
  </conditionalFormatting>
  <conditionalFormatting sqref="B158">
    <cfRule type="expression" dxfId="0" priority="2175">
      <formula>COUNTIF(INDIRECT("Checklist!$None"), "TRUE") = 1</formula>
    </cfRule>
    <cfRule type="expression" dxfId="1" priority="2176">
      <formula>COUNTIF(INDIRECT("Checklist!$None"), "FALSE") = 1</formula>
    </cfRule>
    <cfRule type="notContainsBlanks" dxfId="5" priority="2177">
      <formula>LEN(TRIM(B158))&gt;0</formula>
    </cfRule>
  </conditionalFormatting>
  <conditionalFormatting sqref="B159">
    <cfRule type="expression" dxfId="0" priority="2193">
      <formula>COUNTIF(INDIRECT("Checklist!$None"), "TRUE") = 1</formula>
    </cfRule>
    <cfRule type="expression" dxfId="1" priority="2194">
      <formula>COUNTIF(INDIRECT("Checklist!$None"), "FALSE") = 1</formula>
    </cfRule>
    <cfRule type="notContainsBlanks" dxfId="5" priority="2195">
      <formula>LEN(TRIM(B159))&gt;0</formula>
    </cfRule>
  </conditionalFormatting>
  <conditionalFormatting sqref="B163">
    <cfRule type="expression" dxfId="0" priority="2222">
      <formula>COUNTIF(INDIRECT("Checklist!$A670"), "TRUE") = 1</formula>
    </cfRule>
    <cfRule type="expression" dxfId="1" priority="2223">
      <formula>COUNTIF(INDIRECT("Checklist!$A670"), "FALSE") = 1</formula>
    </cfRule>
    <cfRule type="notContainsBlanks" dxfId="5" priority="2224">
      <formula>LEN(TRIM(B163))&gt;0</formula>
    </cfRule>
  </conditionalFormatting>
  <conditionalFormatting sqref="B164">
    <cfRule type="expression" dxfId="0" priority="2240">
      <formula>COUNTIF(INDIRECT("Checklist!$A671"), "TRUE") = 1</formula>
    </cfRule>
    <cfRule type="expression" dxfId="1" priority="2241">
      <formula>COUNTIF(INDIRECT("Checklist!$A671"), "FALSE") = 1</formula>
    </cfRule>
    <cfRule type="notContainsBlanks" dxfId="5" priority="2242">
      <formula>LEN(TRIM(B164))&gt;0</formula>
    </cfRule>
  </conditionalFormatting>
  <conditionalFormatting sqref="B165">
    <cfRule type="expression" dxfId="0" priority="2258">
      <formula>COUNTIF(INDIRECT("Checklist!$A672"), "TRUE") = 1</formula>
    </cfRule>
    <cfRule type="expression" dxfId="1" priority="2259">
      <formula>COUNTIF(INDIRECT("Checklist!$A672"), "FALSE") = 1</formula>
    </cfRule>
    <cfRule type="notContainsBlanks" dxfId="5" priority="2260">
      <formula>LEN(TRIM(B165))&gt;0</formula>
    </cfRule>
  </conditionalFormatting>
  <conditionalFormatting sqref="B166">
    <cfRule type="expression" dxfId="0" priority="2276">
      <formula>COUNTIF(INDIRECT("Checklist!$A721"), "TRUE") = 1</formula>
    </cfRule>
    <cfRule type="expression" dxfId="1" priority="2277">
      <formula>COUNTIF(INDIRECT("Checklist!$A721"), "FALSE") = 1</formula>
    </cfRule>
    <cfRule type="notContainsBlanks" dxfId="5" priority="2278">
      <formula>LEN(TRIM(B166))&gt;0</formula>
    </cfRule>
  </conditionalFormatting>
  <conditionalFormatting sqref="B167">
    <cfRule type="expression" dxfId="0" priority="2294">
      <formula>COUNTIF(INDIRECT("Checklist!$A659"), "TRUE") = 1</formula>
    </cfRule>
    <cfRule type="expression" dxfId="1" priority="2295">
      <formula>COUNTIF(INDIRECT("Checklist!$A659"), "FALSE") = 1</formula>
    </cfRule>
    <cfRule type="notContainsBlanks" dxfId="5" priority="2296">
      <formula>LEN(TRIM(B167))&gt;0</formula>
    </cfRule>
  </conditionalFormatting>
  <conditionalFormatting sqref="B171">
    <cfRule type="expression" dxfId="0" priority="2332">
      <formula>COUNTIF(INDIRECT("Checklist!$None"), "TRUE") = 1</formula>
    </cfRule>
    <cfRule type="expression" dxfId="1" priority="2333">
      <formula>COUNTIF(INDIRECT("Checklist!$None"), "FALSE") = 1</formula>
    </cfRule>
    <cfRule type="notContainsBlanks" dxfId="5" priority="2334">
      <formula>LEN(TRIM(B171))&gt;0</formula>
    </cfRule>
  </conditionalFormatting>
  <conditionalFormatting sqref="B172">
    <cfRule type="expression" dxfId="0" priority="2350">
      <formula>COUNTIF(INDIRECT("Checklist!$A745"), "TRUE") = 1</formula>
    </cfRule>
    <cfRule type="expression" dxfId="1" priority="2351">
      <formula>COUNTIF(INDIRECT("Checklist!$A745"), "FALSE") = 1</formula>
    </cfRule>
    <cfRule type="notContainsBlanks" dxfId="5" priority="2352">
      <formula>LEN(TRIM(B172))&gt;0</formula>
    </cfRule>
  </conditionalFormatting>
  <conditionalFormatting sqref="B173">
    <cfRule type="expression" dxfId="0" priority="2368">
      <formula>COUNTIF(INDIRECT("Checklist!$A1147"), "TRUE") = 1</formula>
    </cfRule>
    <cfRule type="expression" dxfId="1" priority="2369">
      <formula>COUNTIF(INDIRECT("Checklist!$A1147"), "FALSE") = 1</formula>
    </cfRule>
    <cfRule type="notContainsBlanks" dxfId="5" priority="2370">
      <formula>LEN(TRIM(B173))&gt;0</formula>
    </cfRule>
  </conditionalFormatting>
  <conditionalFormatting sqref="B174">
    <cfRule type="expression" dxfId="0" priority="2386">
      <formula>COUNTIF(INDIRECT("Checklist!$A1153"), "TRUE") = 1</formula>
    </cfRule>
    <cfRule type="expression" dxfId="1" priority="2387">
      <formula>COUNTIF(INDIRECT("Checklist!$A1153"), "FALSE") = 1</formula>
    </cfRule>
    <cfRule type="notContainsBlanks" dxfId="5" priority="2388">
      <formula>LEN(TRIM(B174))&gt;0</formula>
    </cfRule>
  </conditionalFormatting>
  <conditionalFormatting sqref="B179">
    <cfRule type="expression" dxfId="0" priority="2422">
      <formula>COUNTIF(INDIRECT("Checklist!$A870"), "TRUE") = 1</formula>
    </cfRule>
    <cfRule type="expression" dxfId="1" priority="2423">
      <formula>COUNTIF(INDIRECT("Checklist!$A870"), "FALSE") = 1</formula>
    </cfRule>
    <cfRule type="notContainsBlanks" dxfId="5" priority="2424">
      <formula>LEN(TRIM(B179))&gt;0</formula>
    </cfRule>
  </conditionalFormatting>
  <conditionalFormatting sqref="B180">
    <cfRule type="expression" dxfId="0" priority="2440">
      <formula>COUNTIF(INDIRECT("Checklist!$None"), "TRUE") = 1</formula>
    </cfRule>
    <cfRule type="expression" dxfId="1" priority="2441">
      <formula>COUNTIF(INDIRECT("Checklist!$None"), "FALSE") = 1</formula>
    </cfRule>
    <cfRule type="notContainsBlanks" dxfId="5" priority="2442">
      <formula>LEN(TRIM(B180))&gt;0</formula>
    </cfRule>
  </conditionalFormatting>
  <conditionalFormatting sqref="B181">
    <cfRule type="expression" dxfId="0" priority="2458">
      <formula>COUNTIF(INDIRECT("Checklist!$None"), "TRUE") = 1</formula>
    </cfRule>
    <cfRule type="expression" dxfId="1" priority="2459">
      <formula>COUNTIF(INDIRECT("Checklist!$None"), "FALSE") = 1</formula>
    </cfRule>
    <cfRule type="notContainsBlanks" dxfId="5" priority="2460">
      <formula>LEN(TRIM(B181))&gt;0</formula>
    </cfRule>
  </conditionalFormatting>
  <conditionalFormatting sqref="B182">
    <cfRule type="expression" dxfId="0" priority="2476">
      <formula>COUNTIF(INDIRECT("Checklist!$None"), "TRUE") = 1</formula>
    </cfRule>
    <cfRule type="expression" dxfId="1" priority="2477">
      <formula>COUNTIF(INDIRECT("Checklist!$None"), "FALSE") = 1</formula>
    </cfRule>
    <cfRule type="notContainsBlanks" dxfId="5" priority="2478">
      <formula>LEN(TRIM(B182))&gt;0</formula>
    </cfRule>
  </conditionalFormatting>
  <conditionalFormatting sqref="B183">
    <cfRule type="expression" dxfId="0" priority="2494">
      <formula>COUNTIF(INDIRECT("Checklist!$None"), "TRUE") = 1</formula>
    </cfRule>
    <cfRule type="expression" dxfId="1" priority="2495">
      <formula>COUNTIF(INDIRECT("Checklist!$None"), "FALSE") = 1</formula>
    </cfRule>
    <cfRule type="notContainsBlanks" dxfId="5" priority="2496">
      <formula>LEN(TRIM(B183))&gt;0</formula>
    </cfRule>
  </conditionalFormatting>
  <conditionalFormatting sqref="B187">
    <cfRule type="expression" dxfId="0" priority="2534">
      <formula>COUNTIF(INDIRECT("Checklist!$None"), "TRUE") = 1</formula>
    </cfRule>
    <cfRule type="expression" dxfId="1" priority="2535">
      <formula>COUNTIF(INDIRECT("Checklist!$None"), "FALSE") = 1</formula>
    </cfRule>
    <cfRule type="notContainsBlanks" dxfId="5" priority="2536">
      <formula>LEN(TRIM(B187))&gt;0</formula>
    </cfRule>
  </conditionalFormatting>
  <conditionalFormatting sqref="B188">
    <cfRule type="expression" dxfId="0" priority="2552">
      <formula>COUNTIF(INDIRECT("Checklist!$None"), "TRUE") = 1</formula>
    </cfRule>
    <cfRule type="expression" dxfId="1" priority="2553">
      <formula>COUNTIF(INDIRECT("Checklist!$None"), "FALSE") = 1</formula>
    </cfRule>
    <cfRule type="notContainsBlanks" dxfId="5" priority="2554">
      <formula>LEN(TRIM(B188))&gt;0</formula>
    </cfRule>
  </conditionalFormatting>
  <conditionalFormatting sqref="B19">
    <cfRule type="expression" dxfId="0" priority="241">
      <formula>COUNTIF(INDIRECT("Checklist!$A122"), "TRUE") = 1</formula>
    </cfRule>
    <cfRule type="expression" dxfId="1" priority="242">
      <formula>COUNTIF(INDIRECT("Checklist!$A122"), "FALSE") = 1</formula>
    </cfRule>
    <cfRule type="notContainsBlanks" dxfId="5" priority="243">
      <formula>LEN(TRIM(B19))&gt;0</formula>
    </cfRule>
  </conditionalFormatting>
  <conditionalFormatting sqref="B195">
    <cfRule type="expression" dxfId="0" priority="2585">
      <formula>COUNTIF(INDIRECT("Checklist!$A852"), "TRUE") = 1</formula>
    </cfRule>
    <cfRule type="expression" dxfId="1" priority="2586">
      <formula>COUNTIF(INDIRECT("Checklist!$A852"), "FALSE") = 1</formula>
    </cfRule>
    <cfRule type="notContainsBlanks" dxfId="5" priority="2587">
      <formula>LEN(TRIM(B195))&gt;0</formula>
    </cfRule>
  </conditionalFormatting>
  <conditionalFormatting sqref="B196">
    <cfRule type="expression" dxfId="0" priority="2603">
      <formula>COUNTIF(INDIRECT("Checklist!$None"), "TRUE") = 1</formula>
    </cfRule>
    <cfRule type="expression" dxfId="1" priority="2604">
      <formula>COUNTIF(INDIRECT("Checklist!$None"), "FALSE") = 1</formula>
    </cfRule>
    <cfRule type="notContainsBlanks" dxfId="5" priority="2605">
      <formula>LEN(TRIM(B196))&gt;0</formula>
    </cfRule>
  </conditionalFormatting>
  <conditionalFormatting sqref="B20">
    <cfRule type="expression" dxfId="0" priority="259">
      <formula>COUNTIF(INDIRECT("Checklist!$A128"), "TRUE") = 1</formula>
    </cfRule>
    <cfRule type="expression" dxfId="1" priority="260">
      <formula>COUNTIF(INDIRECT("Checklist!$A128"), "FALSE") = 1</formula>
    </cfRule>
    <cfRule type="notContainsBlanks" dxfId="5" priority="261">
      <formula>LEN(TRIM(B20))&gt;0</formula>
    </cfRule>
  </conditionalFormatting>
  <conditionalFormatting sqref="B203">
    <cfRule type="expression" dxfId="0" priority="2609">
      <formula>COUNTIF(INDIRECT("Checklist!$A1102"), "TRUE") = 1</formula>
    </cfRule>
    <cfRule type="expression" dxfId="1" priority="2610">
      <formula>COUNTIF(INDIRECT("Checklist!$A1102"), "FALSE") = 1</formula>
    </cfRule>
    <cfRule type="notContainsBlanks" dxfId="5" priority="2611">
      <formula>LEN(TRIM(B203))&gt;0</formula>
    </cfRule>
  </conditionalFormatting>
  <conditionalFormatting sqref="B204">
    <cfRule type="expression" dxfId="0" priority="2627">
      <formula>COUNTIF(INDIRECT("Checklist!$A1115"), "TRUE") = 1</formula>
    </cfRule>
    <cfRule type="expression" dxfId="1" priority="2628">
      <formula>COUNTIF(INDIRECT("Checklist!$A1115"), "FALSE") = 1</formula>
    </cfRule>
    <cfRule type="notContainsBlanks" dxfId="5" priority="2629">
      <formula>LEN(TRIM(B204))&gt;0</formula>
    </cfRule>
  </conditionalFormatting>
  <conditionalFormatting sqref="B205">
    <cfRule type="expression" dxfId="0" priority="2645">
      <formula>COUNTIF(INDIRECT("Checklist!$A1121"), "TRUE") = 1</formula>
    </cfRule>
    <cfRule type="expression" dxfId="1" priority="2646">
      <formula>COUNTIF(INDIRECT("Checklist!$A1121"), "FALSE") = 1</formula>
    </cfRule>
    <cfRule type="notContainsBlanks" dxfId="5" priority="2647">
      <formula>LEN(TRIM(B205))&gt;0</formula>
    </cfRule>
  </conditionalFormatting>
  <conditionalFormatting sqref="B21">
    <cfRule type="expression" dxfId="0" priority="277">
      <formula>COUNTIF(INDIRECT("Checklist!$A134"), "TRUE") = 1</formula>
    </cfRule>
    <cfRule type="expression" dxfId="1" priority="278">
      <formula>COUNTIF(INDIRECT("Checklist!$A134"), "FALSE") = 1</formula>
    </cfRule>
    <cfRule type="notContainsBlanks" dxfId="5" priority="279">
      <formula>LEN(TRIM(B21))&gt;0</formula>
    </cfRule>
  </conditionalFormatting>
  <conditionalFormatting sqref="B211">
    <cfRule type="expression" dxfId="0" priority="2682">
      <formula>COUNTIF(INDIRECT("Checklist!$A1240"), "TRUE") = 1</formula>
    </cfRule>
    <cfRule type="expression" dxfId="1" priority="2683">
      <formula>COUNTIF(INDIRECT("Checklist!$A1240"), "FALSE") = 1</formula>
    </cfRule>
    <cfRule type="notContainsBlanks" dxfId="5" priority="2684">
      <formula>LEN(TRIM(B211))&gt;0</formula>
    </cfRule>
  </conditionalFormatting>
  <conditionalFormatting sqref="B212">
    <cfRule type="expression" dxfId="0" priority="2700">
      <formula>COUNTIF(INDIRECT("Checklist!$A1246"), "TRUE") = 1</formula>
    </cfRule>
    <cfRule type="expression" dxfId="1" priority="2701">
      <formula>COUNTIF(INDIRECT("Checklist!$A1246"), "FALSE") = 1</formula>
    </cfRule>
    <cfRule type="notContainsBlanks" dxfId="5" priority="2702">
      <formula>LEN(TRIM(B212))&gt;0</formula>
    </cfRule>
  </conditionalFormatting>
  <conditionalFormatting sqref="B213">
    <cfRule type="expression" dxfId="0" priority="2718">
      <formula>COUNTIF(INDIRECT("Checklist!$A1251"), "TRUE") = 1</formula>
    </cfRule>
    <cfRule type="expression" dxfId="1" priority="2719">
      <formula>COUNTIF(INDIRECT("Checklist!$A1251"), "FALSE") = 1</formula>
    </cfRule>
    <cfRule type="notContainsBlanks" dxfId="5" priority="2720">
      <formula>LEN(TRIM(B213))&gt;0</formula>
    </cfRule>
  </conditionalFormatting>
  <conditionalFormatting sqref="B22">
    <cfRule type="expression" dxfId="0" priority="295">
      <formula>COUNTIF(INDIRECT("Checklist!$A140"), "TRUE") = 1</formula>
    </cfRule>
    <cfRule type="expression" dxfId="1" priority="296">
      <formula>COUNTIF(INDIRECT("Checklist!$A140"), "FALSE") = 1</formula>
    </cfRule>
    <cfRule type="notContainsBlanks" dxfId="5" priority="297">
      <formula>LEN(TRIM(B22))&gt;0</formula>
    </cfRule>
  </conditionalFormatting>
  <conditionalFormatting sqref="B23">
    <cfRule type="expression" dxfId="0" priority="313">
      <formula>COUNTIF(INDIRECT("Checklist!$A146"), "TRUE") = 1</formula>
    </cfRule>
    <cfRule type="expression" dxfId="1" priority="314">
      <formula>COUNTIF(INDIRECT("Checklist!$A146"), "FALSE") = 1</formula>
    </cfRule>
    <cfRule type="notContainsBlanks" dxfId="5" priority="315">
      <formula>LEN(TRIM(B23))&gt;0</formula>
    </cfRule>
  </conditionalFormatting>
  <conditionalFormatting sqref="B27">
    <cfRule type="expression" dxfId="0" priority="361">
      <formula>COUNTIF(INDIRECT("Checklist!$A182"), "TRUE") = 1</formula>
    </cfRule>
    <cfRule type="expression" dxfId="1" priority="362">
      <formula>COUNTIF(INDIRECT("Checklist!$A182"), "FALSE") = 1</formula>
    </cfRule>
    <cfRule type="notContainsBlanks" dxfId="5" priority="363">
      <formula>LEN(TRIM(B27))&gt;0</formula>
    </cfRule>
  </conditionalFormatting>
  <conditionalFormatting sqref="B28">
    <cfRule type="expression" dxfId="0" priority="379">
      <formula>COUNTIF(INDIRECT("Checklist!$A188"), "TRUE") = 1</formula>
    </cfRule>
    <cfRule type="expression" dxfId="1" priority="380">
      <formula>COUNTIF(INDIRECT("Checklist!$A188"), "FALSE") = 1</formula>
    </cfRule>
    <cfRule type="notContainsBlanks" dxfId="5" priority="381">
      <formula>LEN(TRIM(B28))&gt;0</formula>
    </cfRule>
  </conditionalFormatting>
  <conditionalFormatting sqref="B29">
    <cfRule type="expression" dxfId="0" priority="397">
      <formula>COUNTIF(INDIRECT("Checklist!$A194"), "TRUE") = 1</formula>
    </cfRule>
    <cfRule type="expression" dxfId="1" priority="398">
      <formula>COUNTIF(INDIRECT("Checklist!$A194"), "FALSE") = 1</formula>
    </cfRule>
    <cfRule type="notContainsBlanks" dxfId="5" priority="39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415">
      <formula>COUNTIF(INDIRECT("Checklist!$A200"), "TRUE") = 1</formula>
    </cfRule>
    <cfRule type="expression" dxfId="1" priority="416">
      <formula>COUNTIF(INDIRECT("Checklist!$A200"), "FALSE") = 1</formula>
    </cfRule>
    <cfRule type="notContainsBlanks" dxfId="5" priority="417">
      <formula>LEN(TRIM(B30))&gt;0</formula>
    </cfRule>
  </conditionalFormatting>
  <conditionalFormatting sqref="B31">
    <cfRule type="expression" dxfId="0" priority="433">
      <formula>COUNTIF(INDIRECT("Checklist!$A206"), "TRUE") = 1</formula>
    </cfRule>
    <cfRule type="expression" dxfId="1" priority="434">
      <formula>COUNTIF(INDIRECT("Checklist!$A206"), "FALSE") = 1</formula>
    </cfRule>
    <cfRule type="notContainsBlanks" dxfId="5" priority="435">
      <formula>LEN(TRIM(B31))&gt;0</formula>
    </cfRule>
  </conditionalFormatting>
  <conditionalFormatting sqref="B35">
    <cfRule type="expression" dxfId="0" priority="481">
      <formula>COUNTIF(INDIRECT("Checklist!$A242"), "TRUE") = 1</formula>
    </cfRule>
    <cfRule type="expression" dxfId="1" priority="482">
      <formula>COUNTIF(INDIRECT("Checklist!$A242"), "FALSE") = 1</formula>
    </cfRule>
    <cfRule type="notContainsBlanks" dxfId="5" priority="483">
      <formula>LEN(TRIM(B35))&gt;0</formula>
    </cfRule>
  </conditionalFormatting>
  <conditionalFormatting sqref="B36">
    <cfRule type="expression" dxfId="0" priority="499">
      <formula>COUNTIF(INDIRECT("Checklist!$A248"), "TRUE") = 1</formula>
    </cfRule>
    <cfRule type="expression" dxfId="1" priority="500">
      <formula>COUNTIF(INDIRECT("Checklist!$A248"), "FALSE") = 1</formula>
    </cfRule>
    <cfRule type="notContainsBlanks" dxfId="5" priority="501">
      <formula>LEN(TRIM(B36))&gt;0</formula>
    </cfRule>
  </conditionalFormatting>
  <conditionalFormatting sqref="B37">
    <cfRule type="expression" dxfId="0" priority="517">
      <formula>COUNTIF(INDIRECT("Checklist!$A254"), "TRUE") = 1</formula>
    </cfRule>
    <cfRule type="expression" dxfId="1" priority="518">
      <formula>COUNTIF(INDIRECT("Checklist!$A254"), "FALSE") = 1</formula>
    </cfRule>
    <cfRule type="notContainsBlanks" dxfId="5" priority="519">
      <formula>LEN(TRIM(B37))&gt;0</formula>
    </cfRule>
  </conditionalFormatting>
  <conditionalFormatting sqref="B38">
    <cfRule type="expression" dxfId="0" priority="535">
      <formula>COUNTIF(INDIRECT("Checklist!$A260"), "TRUE") = 1</formula>
    </cfRule>
    <cfRule type="expression" dxfId="1" priority="536">
      <formula>COUNTIF(INDIRECT("Checklist!$A260"), "FALSE") = 1</formula>
    </cfRule>
    <cfRule type="notContainsBlanks" dxfId="5" priority="537">
      <formula>LEN(TRIM(B38))&gt;0</formula>
    </cfRule>
  </conditionalFormatting>
  <conditionalFormatting sqref="B39">
    <cfRule type="expression" dxfId="0" priority="553">
      <formula>COUNTIF(INDIRECT("Checklist!$A266"), "TRUE") = 1</formula>
    </cfRule>
    <cfRule type="expression" dxfId="1" priority="554">
      <formula>COUNTIF(INDIRECT("Checklist!$A266"), "FALSE") = 1</formula>
    </cfRule>
    <cfRule type="notContainsBlanks" dxfId="5" priority="55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601">
      <formula>COUNTIF(INDIRECT("Checklist!$A302"), "TRUE") = 1</formula>
    </cfRule>
    <cfRule type="expression" dxfId="1" priority="602">
      <formula>COUNTIF(INDIRECT("Checklist!$A302"), "FALSE") = 1</formula>
    </cfRule>
    <cfRule type="notContainsBlanks" dxfId="5" priority="603">
      <formula>LEN(TRIM(B43))&gt;0</formula>
    </cfRule>
  </conditionalFormatting>
  <conditionalFormatting sqref="B44">
    <cfRule type="expression" dxfId="0" priority="619">
      <formula>COUNTIF(INDIRECT("Checklist!$A308"), "TRUE") = 1</formula>
    </cfRule>
    <cfRule type="expression" dxfId="1" priority="620">
      <formula>COUNTIF(INDIRECT("Checklist!$A308"), "FALSE") = 1</formula>
    </cfRule>
    <cfRule type="notContainsBlanks" dxfId="5" priority="621">
      <formula>LEN(TRIM(B44))&gt;0</formula>
    </cfRule>
  </conditionalFormatting>
  <conditionalFormatting sqref="B45">
    <cfRule type="expression" dxfId="0" priority="637">
      <formula>COUNTIF(INDIRECT("Checklist!$A314"), "TRUE") = 1</formula>
    </cfRule>
    <cfRule type="expression" dxfId="1" priority="638">
      <formula>COUNTIF(INDIRECT("Checklist!$A314"), "FALSE") = 1</formula>
    </cfRule>
    <cfRule type="notContainsBlanks" dxfId="5" priority="639">
      <formula>LEN(TRIM(B45))&gt;0</formula>
    </cfRule>
  </conditionalFormatting>
  <conditionalFormatting sqref="B46">
    <cfRule type="expression" dxfId="0" priority="655">
      <formula>COUNTIF(INDIRECT("Checklist!$A320"), "TRUE") = 1</formula>
    </cfRule>
    <cfRule type="expression" dxfId="1" priority="656">
      <formula>COUNTIF(INDIRECT("Checklist!$A320"), "FALSE") = 1</formula>
    </cfRule>
    <cfRule type="notContainsBlanks" dxfId="5" priority="657">
      <formula>LEN(TRIM(B46))&gt;0</formula>
    </cfRule>
  </conditionalFormatting>
  <conditionalFormatting sqref="B47">
    <cfRule type="expression" dxfId="0" priority="673">
      <formula>COUNTIF(INDIRECT("Checklist!$A326"), "TRUE") = 1</formula>
    </cfRule>
    <cfRule type="expression" dxfId="1" priority="674">
      <formula>COUNTIF(INDIRECT("Checklist!$A326"), "FALSE") = 1</formula>
    </cfRule>
    <cfRule type="notContainsBlanks" dxfId="5" priority="6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721">
      <formula>COUNTIF(INDIRECT("Checklist!$A362"), "TRUE") = 1</formula>
    </cfRule>
    <cfRule type="expression" dxfId="1" priority="722">
      <formula>COUNTIF(INDIRECT("Checklist!$A362"), "FALSE") = 1</formula>
    </cfRule>
    <cfRule type="notContainsBlanks" dxfId="5" priority="723">
      <formula>LEN(TRIM(B51))&gt;0</formula>
    </cfRule>
  </conditionalFormatting>
  <conditionalFormatting sqref="B52">
    <cfRule type="expression" dxfId="0" priority="739">
      <formula>COUNTIF(INDIRECT("Checklist!$A368"), "TRUE") = 1</formula>
    </cfRule>
    <cfRule type="expression" dxfId="1" priority="740">
      <formula>COUNTIF(INDIRECT("Checklist!$A368"), "FALSE") = 1</formula>
    </cfRule>
    <cfRule type="notContainsBlanks" dxfId="5" priority="741">
      <formula>LEN(TRIM(B52))&gt;0</formula>
    </cfRule>
  </conditionalFormatting>
  <conditionalFormatting sqref="B53">
    <cfRule type="expression" dxfId="0" priority="757">
      <formula>COUNTIF(INDIRECT("Checklist!$A374"), "TRUE") = 1</formula>
    </cfRule>
    <cfRule type="expression" dxfId="1" priority="758">
      <formula>COUNTIF(INDIRECT("Checklist!$A374"), "FALSE") = 1</formula>
    </cfRule>
    <cfRule type="notContainsBlanks" dxfId="5" priority="759">
      <formula>LEN(TRIM(B53))&gt;0</formula>
    </cfRule>
  </conditionalFormatting>
  <conditionalFormatting sqref="B54">
    <cfRule type="expression" dxfId="0" priority="775">
      <formula>COUNTIF(INDIRECT("Checklist!$A380"), "TRUE") = 1</formula>
    </cfRule>
    <cfRule type="expression" dxfId="1" priority="776">
      <formula>COUNTIF(INDIRECT("Checklist!$A380"), "FALSE") = 1</formula>
    </cfRule>
    <cfRule type="notContainsBlanks" dxfId="5" priority="777">
      <formula>LEN(TRIM(B54))&gt;0</formula>
    </cfRule>
  </conditionalFormatting>
  <conditionalFormatting sqref="B55">
    <cfRule type="expression" dxfId="0" priority="793">
      <formula>COUNTIF(INDIRECT("Checklist!$A386"), "TRUE") = 1</formula>
    </cfRule>
    <cfRule type="expression" dxfId="1" priority="794">
      <formula>COUNTIF(INDIRECT("Checklist!$A386"), "FALSE") = 1</formula>
    </cfRule>
    <cfRule type="notContainsBlanks" dxfId="5" priority="795">
      <formula>LEN(TRIM(B55))&gt;0</formula>
    </cfRule>
  </conditionalFormatting>
  <conditionalFormatting sqref="B59">
    <cfRule type="expression" dxfId="0" priority="841">
      <formula>COUNTIF(INDIRECT("Checklist!$A422"), "TRUE") = 1</formula>
    </cfRule>
    <cfRule type="expression" dxfId="1" priority="842">
      <formula>COUNTIF(INDIRECT("Checklist!$A422"), "FALSE") = 1</formula>
    </cfRule>
    <cfRule type="notContainsBlanks" dxfId="5" priority="84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859">
      <formula>COUNTIF(INDIRECT("Checklist!$A428"), "TRUE") = 1</formula>
    </cfRule>
    <cfRule type="expression" dxfId="1" priority="860">
      <formula>COUNTIF(INDIRECT("Checklist!$A428"), "FALSE") = 1</formula>
    </cfRule>
    <cfRule type="notContainsBlanks" dxfId="5" priority="861">
      <formula>LEN(TRIM(B60))&gt;0</formula>
    </cfRule>
  </conditionalFormatting>
  <conditionalFormatting sqref="B61">
    <cfRule type="expression" dxfId="0" priority="877">
      <formula>COUNTIF(INDIRECT("Checklist!$A434"), "TRUE") = 1</formula>
    </cfRule>
    <cfRule type="expression" dxfId="1" priority="878">
      <formula>COUNTIF(INDIRECT("Checklist!$A434"), "FALSE") = 1</formula>
    </cfRule>
    <cfRule type="notContainsBlanks" dxfId="5" priority="879">
      <formula>LEN(TRIM(B61))&gt;0</formula>
    </cfRule>
  </conditionalFormatting>
  <conditionalFormatting sqref="B62">
    <cfRule type="expression" dxfId="0" priority="895">
      <formula>COUNTIF(INDIRECT("Checklist!$None"), "TRUE") = 1</formula>
    </cfRule>
    <cfRule type="expression" dxfId="1" priority="896">
      <formula>COUNTIF(INDIRECT("Checklist!$None"), "FALSE") = 1</formula>
    </cfRule>
    <cfRule type="notContainsBlanks" dxfId="5" priority="897">
      <formula>LEN(TRIM(B62))&gt;0</formula>
    </cfRule>
  </conditionalFormatting>
  <conditionalFormatting sqref="B63">
    <cfRule type="expression" dxfId="0" priority="913">
      <formula>COUNTIF(INDIRECT("Checklist!$A446"), "TRUE") = 1</formula>
    </cfRule>
    <cfRule type="expression" dxfId="1" priority="914">
      <formula>COUNTIF(INDIRECT("Checklist!$A446"), "FALSE") = 1</formula>
    </cfRule>
    <cfRule type="notContainsBlanks" dxfId="5" priority="915">
      <formula>LEN(TRIM(B63))&gt;0</formula>
    </cfRule>
  </conditionalFormatting>
  <conditionalFormatting sqref="B67">
    <cfRule type="expression" dxfId="0" priority="961">
      <formula>COUNTIF(INDIRECT("Checklist!$A482"), "TRUE") = 1</formula>
    </cfRule>
    <cfRule type="expression" dxfId="1" priority="962">
      <formula>COUNTIF(INDIRECT("Checklist!$A482"), "FALSE") = 1</formula>
    </cfRule>
    <cfRule type="notContainsBlanks" dxfId="5" priority="963">
      <formula>LEN(TRIM(B67))&gt;0</formula>
    </cfRule>
  </conditionalFormatting>
  <conditionalFormatting sqref="B68">
    <cfRule type="expression" dxfId="0" priority="979">
      <formula>COUNTIF(INDIRECT("Checklist!$None"), "TRUE") = 1</formula>
    </cfRule>
    <cfRule type="expression" dxfId="1" priority="980">
      <formula>COUNTIF(INDIRECT("Checklist!$None"), "FALSE") = 1</formula>
    </cfRule>
    <cfRule type="notContainsBlanks" dxfId="5" priority="981">
      <formula>LEN(TRIM(B68))&gt;0</formula>
    </cfRule>
  </conditionalFormatting>
  <conditionalFormatting sqref="B69">
    <cfRule type="expression" dxfId="0" priority="997">
      <formula>COUNTIF(INDIRECT("Checklist!$A494"), "TRUE") = 1</formula>
    </cfRule>
    <cfRule type="expression" dxfId="1" priority="998">
      <formula>COUNTIF(INDIRECT("Checklist!$A494"), "FALSE") = 1</formula>
    </cfRule>
    <cfRule type="notContainsBlanks" dxfId="5" priority="999">
      <formula>LEN(TRIM(B69))&gt;0</formula>
    </cfRule>
  </conditionalFormatting>
  <conditionalFormatting sqref="B7">
    <cfRule type="expression" dxfId="0" priority="73">
      <formula>COUNTIF(INDIRECT("Checklist!$A26"), "TRUE") = 1</formula>
    </cfRule>
    <cfRule type="expression" dxfId="1" priority="74">
      <formula>COUNTIF(INDIRECT("Checklist!$A26"), "FALSE") = 1</formula>
    </cfRule>
    <cfRule type="notContainsBlanks" dxfId="5" priority="75">
      <formula>LEN(TRIM(B7))&gt;0</formula>
    </cfRule>
  </conditionalFormatting>
  <conditionalFormatting sqref="B70">
    <cfRule type="expression" dxfId="0" priority="1015">
      <formula>COUNTIF(INDIRECT("Checklist!$A500"), "TRUE") = 1</formula>
    </cfRule>
    <cfRule type="expression" dxfId="1" priority="1016">
      <formula>COUNTIF(INDIRECT("Checklist!$A500"), "FALSE") = 1</formula>
    </cfRule>
    <cfRule type="notContainsBlanks" dxfId="5" priority="1017">
      <formula>LEN(TRIM(B70))&gt;0</formula>
    </cfRule>
  </conditionalFormatting>
  <conditionalFormatting sqref="B71">
    <cfRule type="expression" dxfId="0" priority="1033">
      <formula>COUNTIF(INDIRECT("Checklist!$A506"), "TRUE") = 1</formula>
    </cfRule>
    <cfRule type="expression" dxfId="1" priority="1034">
      <formula>COUNTIF(INDIRECT("Checklist!$A506"), "FALSE") = 1</formula>
    </cfRule>
    <cfRule type="notContainsBlanks" dxfId="5" priority="1035">
      <formula>LEN(TRIM(B71))&gt;0</formula>
    </cfRule>
  </conditionalFormatting>
  <conditionalFormatting sqref="B75">
    <cfRule type="expression" dxfId="0" priority="1081">
      <formula>COUNTIF(INDIRECT("Checklist!$A542"), "TRUE") = 1</formula>
    </cfRule>
    <cfRule type="expression" dxfId="1" priority="1082">
      <formula>COUNTIF(INDIRECT("Checklist!$A542"), "FALSE") = 1</formula>
    </cfRule>
    <cfRule type="notContainsBlanks" dxfId="5" priority="1083">
      <formula>LEN(TRIM(B75))&gt;0</formula>
    </cfRule>
  </conditionalFormatting>
  <conditionalFormatting sqref="B76">
    <cfRule type="expression" dxfId="0" priority="1099">
      <formula>COUNTIF(INDIRECT("Checklist!$A548"), "TRUE") = 1</formula>
    </cfRule>
    <cfRule type="expression" dxfId="1" priority="1100">
      <formula>COUNTIF(INDIRECT("Checklist!$A548"), "FALSE") = 1</formula>
    </cfRule>
    <cfRule type="notContainsBlanks" dxfId="5" priority="1101">
      <formula>LEN(TRIM(B76))&gt;0</formula>
    </cfRule>
  </conditionalFormatting>
  <conditionalFormatting sqref="B77">
    <cfRule type="expression" dxfId="0" priority="1117">
      <formula>COUNTIF(INDIRECT("Checklist!$A554"), "TRUE") = 1</formula>
    </cfRule>
    <cfRule type="expression" dxfId="1" priority="1118">
      <formula>COUNTIF(INDIRECT("Checklist!$A554"), "FALSE") = 1</formula>
    </cfRule>
    <cfRule type="notContainsBlanks" dxfId="5" priority="1119">
      <formula>LEN(TRIM(B77))&gt;0</formula>
    </cfRule>
  </conditionalFormatting>
  <conditionalFormatting sqref="B78">
    <cfRule type="expression" dxfId="0" priority="1135">
      <formula>COUNTIF(INDIRECT("Checklist!$A560"), "TRUE") = 1</formula>
    </cfRule>
    <cfRule type="expression" dxfId="1" priority="1136">
      <formula>COUNTIF(INDIRECT("Checklist!$A560"), "FALSE") = 1</formula>
    </cfRule>
    <cfRule type="notContainsBlanks" dxfId="5" priority="1137">
      <formula>LEN(TRIM(B78))&gt;0</formula>
    </cfRule>
  </conditionalFormatting>
  <conditionalFormatting sqref="B79">
    <cfRule type="expression" dxfId="0" priority="1153">
      <formula>COUNTIF(INDIRECT("Checklist!$A566"), "TRUE") = 1</formula>
    </cfRule>
    <cfRule type="expression" dxfId="1" priority="1154">
      <formula>COUNTIF(INDIRECT("Checklist!$A566"), "FALSE") = 1</formula>
    </cfRule>
    <cfRule type="notContainsBlanks" dxfId="5" priority="1155">
      <formula>LEN(TRIM(B79))&gt;0</formula>
    </cfRule>
  </conditionalFormatting>
  <conditionalFormatting sqref="B83">
    <cfRule type="expression" dxfId="0" priority="1201">
      <formula>COUNTIF(INDIRECT("Checklist!$A602"), "TRUE") = 1</formula>
    </cfRule>
    <cfRule type="expression" dxfId="1" priority="1202">
      <formula>COUNTIF(INDIRECT("Checklist!$A602"), "FALSE") = 1</formula>
    </cfRule>
    <cfRule type="notContainsBlanks" dxfId="5" priority="1203">
      <formula>LEN(TRIM(B83))&gt;0</formula>
    </cfRule>
  </conditionalFormatting>
  <conditionalFormatting sqref="B84">
    <cfRule type="expression" dxfId="0" priority="1219">
      <formula>COUNTIF(INDIRECT("Checklist!$A608"), "TRUE") = 1</formula>
    </cfRule>
    <cfRule type="expression" dxfId="1" priority="1220">
      <formula>COUNTIF(INDIRECT("Checklist!$A608"), "FALSE") = 1</formula>
    </cfRule>
    <cfRule type="notContainsBlanks" dxfId="5" priority="1221">
      <formula>LEN(TRIM(B84))&gt;0</formula>
    </cfRule>
  </conditionalFormatting>
  <conditionalFormatting sqref="B85">
    <cfRule type="expression" dxfId="0" priority="1237">
      <formula>COUNTIF(INDIRECT("Checklist!$A614"), "TRUE") = 1</formula>
    </cfRule>
    <cfRule type="expression" dxfId="1" priority="1238">
      <formula>COUNTIF(INDIRECT("Checklist!$A614"), "FALSE") = 1</formula>
    </cfRule>
    <cfRule type="notContainsBlanks" dxfId="5" priority="1239">
      <formula>LEN(TRIM(B85))&gt;0</formula>
    </cfRule>
  </conditionalFormatting>
  <conditionalFormatting sqref="B86">
    <cfRule type="expression" dxfId="0" priority="1255">
      <formula>COUNTIF(INDIRECT("Checklist!$A620"), "TRUE") = 1</formula>
    </cfRule>
    <cfRule type="expression" dxfId="1" priority="1256">
      <formula>COUNTIF(INDIRECT("Checklist!$A620"), "FALSE") = 1</formula>
    </cfRule>
    <cfRule type="notContainsBlanks" dxfId="5" priority="1257">
      <formula>LEN(TRIM(B86))&gt;0</formula>
    </cfRule>
  </conditionalFormatting>
  <conditionalFormatting sqref="B87">
    <cfRule type="expression" dxfId="0" priority="1273">
      <formula>COUNTIF(INDIRECT("Checklist!$A626"), "TRUE") = 1</formula>
    </cfRule>
    <cfRule type="expression" dxfId="1" priority="1274">
      <formula>COUNTIF(INDIRECT("Checklist!$A626"), "FALSE") = 1</formula>
    </cfRule>
    <cfRule type="notContainsBlanks" dxfId="5" priority="1275">
      <formula>LEN(TRIM(B87))&gt;0</formula>
    </cfRule>
  </conditionalFormatting>
  <conditionalFormatting sqref="B91">
    <cfRule type="expression" dxfId="0" priority="1321">
      <formula>COUNTIF(INDIRECT("Checklist!$A662"), "TRUE") = 1</formula>
    </cfRule>
    <cfRule type="expression" dxfId="1" priority="1322">
      <formula>COUNTIF(INDIRECT("Checklist!$A662"), "FALSE") = 1</formula>
    </cfRule>
    <cfRule type="notContainsBlanks" dxfId="5" priority="1323">
      <formula>LEN(TRIM(B91))&gt;0</formula>
    </cfRule>
  </conditionalFormatting>
  <conditionalFormatting sqref="B92">
    <cfRule type="expression" dxfId="0" priority="1339">
      <formula>COUNTIF(INDIRECT("Checklist!$A668"), "TRUE") = 1</formula>
    </cfRule>
    <cfRule type="expression" dxfId="1" priority="1340">
      <formula>COUNTIF(INDIRECT("Checklist!$A668"), "FALSE") = 1</formula>
    </cfRule>
    <cfRule type="notContainsBlanks" dxfId="5" priority="1341">
      <formula>LEN(TRIM(B92))&gt;0</formula>
    </cfRule>
  </conditionalFormatting>
  <conditionalFormatting sqref="B93">
    <cfRule type="expression" dxfId="0" priority="1357">
      <formula>COUNTIF(INDIRECT("Checklist!$A674"), "TRUE") = 1</formula>
    </cfRule>
    <cfRule type="expression" dxfId="1" priority="1358">
      <formula>COUNTIF(INDIRECT("Checklist!$A674"), "FALSE") = 1</formula>
    </cfRule>
    <cfRule type="notContainsBlanks" dxfId="5" priority="1359">
      <formula>LEN(TRIM(B93))&gt;0</formula>
    </cfRule>
  </conditionalFormatting>
  <conditionalFormatting sqref="B94">
    <cfRule type="expression" dxfId="0" priority="1375">
      <formula>COUNTIF(INDIRECT("Checklist!$A680"), "TRUE") = 1</formula>
    </cfRule>
    <cfRule type="expression" dxfId="1" priority="1376">
      <formula>COUNTIF(INDIRECT("Checklist!$A680"), "FALSE") = 1</formula>
    </cfRule>
    <cfRule type="notContainsBlanks" dxfId="5" priority="1377">
      <formula>LEN(TRIM(B94))&gt;0</formula>
    </cfRule>
  </conditionalFormatting>
  <conditionalFormatting sqref="B95">
    <cfRule type="expression" dxfId="0" priority="1393">
      <formula>COUNTIF(INDIRECT("Checklist!$A686"), "TRUE") = 1</formula>
    </cfRule>
    <cfRule type="expression" dxfId="1" priority="1394">
      <formula>COUNTIF(INDIRECT("Checklist!$A686"), "FALSE") = 1</formula>
    </cfRule>
    <cfRule type="notContainsBlanks" dxfId="5" priority="1395">
      <formula>LEN(TRIM(B95))&gt;0</formula>
    </cfRule>
  </conditionalFormatting>
  <conditionalFormatting sqref="B99">
    <cfRule type="expression" dxfId="0" priority="1441">
      <formula>COUNTIF(INDIRECT("Checklist!$A722"), "TRUE") = 1</formula>
    </cfRule>
    <cfRule type="expression" dxfId="1" priority="1442">
      <formula>COUNTIF(INDIRECT("Checklist!$A722"), "FALSE") = 1</formula>
    </cfRule>
    <cfRule type="notContainsBlanks" dxfId="5" priority="1443">
      <formula>LEN(TRIM(B99))&gt;0</formula>
    </cfRule>
  </conditionalFormatting>
  <conditionalFormatting sqref="C100">
    <cfRule type="expression" dxfId="0" priority="1462">
      <formula>COUNTIF(INDIRECT("Checklist!$A729"), "TRUE") = 1</formula>
    </cfRule>
    <cfRule type="expression" dxfId="1" priority="1463">
      <formula>COUNTIF(INDIRECT("Checklist!$A729"), "FALSE") = 1</formula>
    </cfRule>
    <cfRule type="notContainsBlanks" dxfId="5" priority="1464">
      <formula>LEN(TRIM(C100))&gt;0</formula>
    </cfRule>
  </conditionalFormatting>
  <conditionalFormatting sqref="C101">
    <cfRule type="expression" dxfId="0" priority="1480">
      <formula>COUNTIF(INDIRECT("Checklist!$A735"), "TRUE") = 1</formula>
    </cfRule>
    <cfRule type="expression" dxfId="1" priority="1481">
      <formula>COUNTIF(INDIRECT("Checklist!$A735"), "FALSE") = 1</formula>
    </cfRule>
    <cfRule type="notContainsBlanks" dxfId="5" priority="1482">
      <formula>LEN(TRIM(C101))&gt;0</formula>
    </cfRule>
  </conditionalFormatting>
  <conditionalFormatting sqref="C102">
    <cfRule type="expression" dxfId="0" priority="1498">
      <formula>COUNTIF(INDIRECT("Checklist!$A741"), "TRUE") = 1</formula>
    </cfRule>
    <cfRule type="expression" dxfId="1" priority="1499">
      <formula>COUNTIF(INDIRECT("Checklist!$A741"), "FALSE") = 1</formula>
    </cfRule>
    <cfRule type="notContainsBlanks" dxfId="5" priority="1500">
      <formula>LEN(TRIM(C102))&gt;0</formula>
    </cfRule>
  </conditionalFormatting>
  <conditionalFormatting sqref="C103">
    <cfRule type="expression" dxfId="0" priority="1516">
      <formula>COUNTIF(INDIRECT("Checklist!$None"), "TRUE") = 1</formula>
    </cfRule>
    <cfRule type="expression" dxfId="1" priority="1517">
      <formula>COUNTIF(INDIRECT("Checklist!$None"), "FALSE") = 1</formula>
    </cfRule>
    <cfRule type="notContainsBlanks" dxfId="5" priority="1518">
      <formula>LEN(TRIM(C103))&gt;0</formula>
    </cfRule>
  </conditionalFormatting>
  <conditionalFormatting sqref="C107">
    <cfRule type="expression" dxfId="0" priority="1564">
      <formula>COUNTIF(INDIRECT("Checklist!$None"), "TRUE") = 1</formula>
    </cfRule>
    <cfRule type="expression" dxfId="1" priority="1565">
      <formula>COUNTIF(INDIRECT("Checklist!$None"), "FALSE") = 1</formula>
    </cfRule>
    <cfRule type="notContainsBlanks" dxfId="5" priority="1566">
      <formula>LEN(TRIM(C107))&gt;0</formula>
    </cfRule>
  </conditionalFormatting>
  <conditionalFormatting sqref="C108">
    <cfRule type="expression" dxfId="0" priority="1582">
      <formula>COUNTIF(INDIRECT("Checklist!$None"), "TRUE") = 1</formula>
    </cfRule>
    <cfRule type="expression" dxfId="1" priority="1583">
      <formula>COUNTIF(INDIRECT("Checklist!$None"), "FALSE") = 1</formula>
    </cfRule>
    <cfRule type="notContainsBlanks" dxfId="5" priority="1584">
      <formula>LEN(TRIM(C108))&gt;0</formula>
    </cfRule>
  </conditionalFormatting>
  <conditionalFormatting sqref="C109">
    <cfRule type="expression" dxfId="0" priority="1600">
      <formula>COUNTIF(INDIRECT("Checklist!$A795"), "TRUE") = 1</formula>
    </cfRule>
    <cfRule type="expression" dxfId="1" priority="1601">
      <formula>COUNTIF(INDIRECT("Checklist!$A795"), "FALSE") = 1</formula>
    </cfRule>
    <cfRule type="notContainsBlanks" dxfId="5" priority="1602">
      <formula>LEN(TRIM(C109))&gt;0</formula>
    </cfRule>
  </conditionalFormatting>
  <conditionalFormatting sqref="C11">
    <cfRule type="expression" dxfId="0" priority="124">
      <formula>COUNTIF(INDIRECT("Checklist!$A63"), "TRUE") = 1</formula>
    </cfRule>
    <cfRule type="expression" dxfId="1" priority="125">
      <formula>COUNTIF(INDIRECT("Checklist!$A63"), "FALSE") = 1</formula>
    </cfRule>
    <cfRule type="notContainsBlanks" dxfId="5" priority="126">
      <formula>LEN(TRIM(C11))&gt;0</formula>
    </cfRule>
  </conditionalFormatting>
  <conditionalFormatting sqref="C110">
    <cfRule type="expression" dxfId="0" priority="1618">
      <formula>COUNTIF(INDIRECT("Checklist!$A801"), "TRUE") = 1</formula>
    </cfRule>
    <cfRule type="expression" dxfId="1" priority="1619">
      <formula>COUNTIF(INDIRECT("Checklist!$A801"), "FALSE") = 1</formula>
    </cfRule>
    <cfRule type="notContainsBlanks" dxfId="5" priority="1620">
      <formula>LEN(TRIM(C110))&gt;0</formula>
    </cfRule>
  </conditionalFormatting>
  <conditionalFormatting sqref="C111">
    <cfRule type="expression" dxfId="0" priority="1636">
      <formula>COUNTIF(INDIRECT("Checklist!$A807"), "TRUE") = 1</formula>
    </cfRule>
    <cfRule type="expression" dxfId="1" priority="1637">
      <formula>COUNTIF(INDIRECT("Checklist!$A807"), "FALSE") = 1</formula>
    </cfRule>
    <cfRule type="notContainsBlanks" dxfId="5" priority="1638">
      <formula>LEN(TRIM(C111))&gt;0</formula>
    </cfRule>
  </conditionalFormatting>
  <conditionalFormatting sqref="C115">
    <cfRule type="expression" dxfId="0" priority="1684">
      <formula>COUNTIF(INDIRECT("Checklist!$A843"), "TRUE") = 1</formula>
    </cfRule>
    <cfRule type="expression" dxfId="1" priority="1685">
      <formula>COUNTIF(INDIRECT("Checklist!$A843"), "FALSE") = 1</formula>
    </cfRule>
    <cfRule type="notContainsBlanks" dxfId="5" priority="1686">
      <formula>LEN(TRIM(C115))&gt;0</formula>
    </cfRule>
  </conditionalFormatting>
  <conditionalFormatting sqref="C116">
    <cfRule type="expression" dxfId="0" priority="1702">
      <formula>COUNTIF(INDIRECT("Checklist!$A849"), "TRUE") = 1</formula>
    </cfRule>
    <cfRule type="expression" dxfId="1" priority="1703">
      <formula>COUNTIF(INDIRECT("Checklist!$A849"), "FALSE") = 1</formula>
    </cfRule>
    <cfRule type="notContainsBlanks" dxfId="5" priority="1704">
      <formula>LEN(TRIM(C116))&gt;0</formula>
    </cfRule>
  </conditionalFormatting>
  <conditionalFormatting sqref="C117">
    <cfRule type="expression" dxfId="0" priority="1720">
      <formula>COUNTIF(INDIRECT("Checklist!$A855"), "TRUE") = 1</formula>
    </cfRule>
    <cfRule type="expression" dxfId="1" priority="1721">
      <formula>COUNTIF(INDIRECT("Checklist!$A855"), "FALSE") = 1</formula>
    </cfRule>
    <cfRule type="notContainsBlanks" dxfId="5" priority="1722">
      <formula>LEN(TRIM(C117))&gt;0</formula>
    </cfRule>
  </conditionalFormatting>
  <conditionalFormatting sqref="C118">
    <cfRule type="expression" dxfId="0" priority="1738">
      <formula>COUNTIF(INDIRECT("Checklist!$A861"), "TRUE") = 1</formula>
    </cfRule>
    <cfRule type="expression" dxfId="1" priority="1739">
      <formula>COUNTIF(INDIRECT("Checklist!$A861"), "FALSE") = 1</formula>
    </cfRule>
    <cfRule type="notContainsBlanks" dxfId="5" priority="1740">
      <formula>LEN(TRIM(C118))&gt;0</formula>
    </cfRule>
  </conditionalFormatting>
  <conditionalFormatting sqref="C119">
    <cfRule type="expression" dxfId="0" priority="1756">
      <formula>COUNTIF(INDIRECT("Checklist!$None"), "TRUE") = 1</formula>
    </cfRule>
    <cfRule type="expression" dxfId="1" priority="1757">
      <formula>COUNTIF(INDIRECT("Checklist!$None"), "FALSE") = 1</formula>
    </cfRule>
    <cfRule type="notContainsBlanks" dxfId="5" priority="1758">
      <formula>LEN(TRIM(C119))&gt;0</formula>
    </cfRule>
  </conditionalFormatting>
  <conditionalFormatting sqref="C12">
    <cfRule type="expression" dxfId="0" priority="142">
      <formula>COUNTIF(INDIRECT("Checklist!$A69"), "TRUE") = 1</formula>
    </cfRule>
    <cfRule type="expression" dxfId="1" priority="143">
      <formula>COUNTIF(INDIRECT("Checklist!$A69"), "FALSE") = 1</formula>
    </cfRule>
    <cfRule type="notContainsBlanks" dxfId="5" priority="144">
      <formula>LEN(TRIM(C12))&gt;0</formula>
    </cfRule>
  </conditionalFormatting>
  <conditionalFormatting sqref="C123">
    <cfRule type="expression" dxfId="0" priority="1804">
      <formula>COUNTIF(INDIRECT("Checklist!$None"), "TRUE") = 1</formula>
    </cfRule>
    <cfRule type="expression" dxfId="1" priority="1805">
      <formula>COUNTIF(INDIRECT("Checklist!$None"), "FALSE") = 1</formula>
    </cfRule>
    <cfRule type="notContainsBlanks" dxfId="5" priority="1806">
      <formula>LEN(TRIM(C123))&gt;0</formula>
    </cfRule>
  </conditionalFormatting>
  <conditionalFormatting sqref="C13">
    <cfRule type="expression" dxfId="0" priority="160">
      <formula>COUNTIF(INDIRECT("Checklist!$A75"), "TRUE") = 1</formula>
    </cfRule>
    <cfRule type="expression" dxfId="1" priority="161">
      <formula>COUNTIF(INDIRECT("Checklist!$A75"), "FALSE") = 1</formula>
    </cfRule>
    <cfRule type="notContainsBlanks" dxfId="5" priority="162">
      <formula>LEN(TRIM(C13))&gt;0</formula>
    </cfRule>
  </conditionalFormatting>
  <conditionalFormatting sqref="C131">
    <cfRule type="expression" dxfId="0" priority="1849">
      <formula>COUNTIF(INDIRECT("Checklist!$None"), "TRUE") = 1</formula>
    </cfRule>
    <cfRule type="expression" dxfId="1" priority="1850">
      <formula>COUNTIF(INDIRECT("Checklist!$None"), "FALSE") = 1</formula>
    </cfRule>
    <cfRule type="notContainsBlanks" dxfId="5" priority="1851">
      <formula>LEN(TRIM(C131))&gt;0</formula>
    </cfRule>
  </conditionalFormatting>
  <conditionalFormatting sqref="C132">
    <cfRule type="expression" dxfId="0" priority="1867">
      <formula>COUNTIF(INDIRECT("Checklist!$None"), "TRUE") = 1</formula>
    </cfRule>
    <cfRule type="expression" dxfId="1" priority="1868">
      <formula>COUNTIF(INDIRECT("Checklist!$None"), "FALSE") = 1</formula>
    </cfRule>
    <cfRule type="notContainsBlanks" dxfId="5" priority="1869">
      <formula>LEN(TRIM(C132))&gt;0</formula>
    </cfRule>
  </conditionalFormatting>
  <conditionalFormatting sqref="C133">
    <cfRule type="expression" dxfId="0" priority="1885">
      <formula>COUNTIF(INDIRECT("Checklist!$None"), "TRUE") = 1</formula>
    </cfRule>
    <cfRule type="expression" dxfId="1" priority="1886">
      <formula>COUNTIF(INDIRECT("Checklist!$None"), "FALSE") = 1</formula>
    </cfRule>
    <cfRule type="notContainsBlanks" dxfId="5" priority="1887">
      <formula>LEN(TRIM(C133))&gt;0</formula>
    </cfRule>
  </conditionalFormatting>
  <conditionalFormatting sqref="C134">
    <cfRule type="expression" dxfId="0" priority="1903">
      <formula>COUNTIF(INDIRECT("Checklist!$None"), "TRUE") = 1</formula>
    </cfRule>
    <cfRule type="expression" dxfId="1" priority="1904">
      <formula>COUNTIF(INDIRECT("Checklist!$None"), "FALSE") = 1</formula>
    </cfRule>
    <cfRule type="notContainsBlanks" dxfId="5" priority="1905">
      <formula>LEN(TRIM(C134))&gt;0</formula>
    </cfRule>
  </conditionalFormatting>
  <conditionalFormatting sqref="C135">
    <cfRule type="expression" dxfId="0" priority="1921">
      <formula>COUNTIF(INDIRECT("Checklist!$None"), "TRUE") = 1</formula>
    </cfRule>
    <cfRule type="expression" dxfId="1" priority="1922">
      <formula>COUNTIF(INDIRECT("Checklist!$None"), "FALSE") = 1</formula>
    </cfRule>
    <cfRule type="notContainsBlanks" dxfId="5" priority="1923">
      <formula>LEN(TRIM(C135))&gt;0</formula>
    </cfRule>
  </conditionalFormatting>
  <conditionalFormatting sqref="C139">
    <cfRule type="expression" dxfId="0" priority="1969">
      <formula>COUNTIF(INDIRECT("Checklist!$None"), "TRUE") = 1</formula>
    </cfRule>
    <cfRule type="expression" dxfId="1" priority="1970">
      <formula>COUNTIF(INDIRECT("Checklist!$None"), "FALSE") = 1</formula>
    </cfRule>
    <cfRule type="notContainsBlanks" dxfId="5" priority="1971">
      <formula>LEN(TRIM(C139))&gt;0</formula>
    </cfRule>
  </conditionalFormatting>
  <conditionalFormatting sqref="C14">
    <cfRule type="expression" dxfId="0" priority="178">
      <formula>COUNTIF(INDIRECT("Checklist!$A81"), "TRUE") = 1</formula>
    </cfRule>
    <cfRule type="expression" dxfId="1" priority="179">
      <formula>COUNTIF(INDIRECT("Checklist!$A81"), "FALSE") = 1</formula>
    </cfRule>
    <cfRule type="notContainsBlanks" dxfId="5" priority="180">
      <formula>LEN(TRIM(C14))&gt;0</formula>
    </cfRule>
  </conditionalFormatting>
  <conditionalFormatting sqref="C140">
    <cfRule type="expression" dxfId="0" priority="1987">
      <formula>COUNTIF(INDIRECT("Checklist!$None"), "TRUE") = 1</formula>
    </cfRule>
    <cfRule type="expression" dxfId="1" priority="1988">
      <formula>COUNTIF(INDIRECT("Checklist!$None"), "FALSE") = 1</formula>
    </cfRule>
    <cfRule type="notContainsBlanks" dxfId="5" priority="1989">
      <formula>LEN(TRIM(C140))&gt;0</formula>
    </cfRule>
  </conditionalFormatting>
  <conditionalFormatting sqref="C147">
    <cfRule type="expression" dxfId="0" priority="2014">
      <formula>COUNTIF(INDIRECT("Checklist!$None"), "TRUE") = 1</formula>
    </cfRule>
    <cfRule type="expression" dxfId="1" priority="2015">
      <formula>COUNTIF(INDIRECT("Checklist!$None"), "FALSE") = 1</formula>
    </cfRule>
    <cfRule type="notContainsBlanks" dxfId="5" priority="2016">
      <formula>LEN(TRIM(C147))&gt;0</formula>
    </cfRule>
  </conditionalFormatting>
  <conditionalFormatting sqref="C148">
    <cfRule type="expression" dxfId="0" priority="2032">
      <formula>COUNTIF(INDIRECT("Checklist!$None"), "TRUE") = 1</formula>
    </cfRule>
    <cfRule type="expression" dxfId="1" priority="2033">
      <formula>COUNTIF(INDIRECT("Checklist!$None"), "FALSE") = 1</formula>
    </cfRule>
    <cfRule type="notContainsBlanks" dxfId="5" priority="2034">
      <formula>LEN(TRIM(C148))&gt;0</formula>
    </cfRule>
  </conditionalFormatting>
  <conditionalFormatting sqref="C149">
    <cfRule type="expression" dxfId="0" priority="2050">
      <formula>COUNTIF(INDIRECT("Checklist!$None"), "TRUE") = 1</formula>
    </cfRule>
    <cfRule type="expression" dxfId="1" priority="2051">
      <formula>COUNTIF(INDIRECT("Checklist!$None"), "FALSE") = 1</formula>
    </cfRule>
    <cfRule type="notContainsBlanks" dxfId="5" priority="2052">
      <formula>LEN(TRIM(C149))&gt;0</formula>
    </cfRule>
  </conditionalFormatting>
  <conditionalFormatting sqref="C15">
    <cfRule type="expression" dxfId="0" priority="196">
      <formula>COUNTIF(INDIRECT("Checklist!$A87"), "TRUE") = 1</formula>
    </cfRule>
    <cfRule type="expression" dxfId="1" priority="197">
      <formula>COUNTIF(INDIRECT("Checklist!$A87"), "FALSE") = 1</formula>
    </cfRule>
    <cfRule type="notContainsBlanks" dxfId="5" priority="198">
      <formula>LEN(TRIM(C15))&gt;0</formula>
    </cfRule>
  </conditionalFormatting>
  <conditionalFormatting sqref="C150">
    <cfRule type="expression" dxfId="0" priority="2068">
      <formula>COUNTIF(INDIRECT("Checklist!$None"), "TRUE") = 1</formula>
    </cfRule>
    <cfRule type="expression" dxfId="1" priority="2069">
      <formula>COUNTIF(INDIRECT("Checklist!$None"), "FALSE") = 1</formula>
    </cfRule>
    <cfRule type="notContainsBlanks" dxfId="5" priority="2070">
      <formula>LEN(TRIM(C150))&gt;0</formula>
    </cfRule>
  </conditionalFormatting>
  <conditionalFormatting sqref="C151">
    <cfRule type="expression" dxfId="0" priority="2086">
      <formula>COUNTIF(INDIRECT("Checklist!$None"), "TRUE") = 1</formula>
    </cfRule>
    <cfRule type="expression" dxfId="1" priority="2087">
      <formula>COUNTIF(INDIRECT("Checklist!$None"), "FALSE") = 1</formula>
    </cfRule>
    <cfRule type="notContainsBlanks" dxfId="5" priority="2088">
      <formula>LEN(TRIM(C151))&gt;0</formula>
    </cfRule>
  </conditionalFormatting>
  <conditionalFormatting sqref="C155">
    <cfRule type="expression" dxfId="0" priority="2124">
      <formula>COUNTIF(INDIRECT("Checklist!$None"), "TRUE") = 1</formula>
    </cfRule>
    <cfRule type="expression" dxfId="1" priority="2125">
      <formula>COUNTIF(INDIRECT("Checklist!$None"), "FALSE") = 1</formula>
    </cfRule>
    <cfRule type="notContainsBlanks" dxfId="5" priority="2126">
      <formula>LEN(TRIM(C155))&gt;0</formula>
    </cfRule>
  </conditionalFormatting>
  <conditionalFormatting sqref="C156">
    <cfRule type="expression" dxfId="0" priority="2142">
      <formula>COUNTIF(INDIRECT("Checklist!$None"), "TRUE") = 1</formula>
    </cfRule>
    <cfRule type="expression" dxfId="1" priority="2143">
      <formula>COUNTIF(INDIRECT("Checklist!$None"), "FALSE") = 1</formula>
    </cfRule>
    <cfRule type="notContainsBlanks" dxfId="5" priority="2144">
      <formula>LEN(TRIM(C156))&gt;0</formula>
    </cfRule>
  </conditionalFormatting>
  <conditionalFormatting sqref="C157">
    <cfRule type="expression" dxfId="0" priority="2160">
      <formula>COUNTIF(INDIRECT("Checklist!$A1027"), "TRUE") = 1</formula>
    </cfRule>
    <cfRule type="expression" dxfId="1" priority="2161">
      <formula>COUNTIF(INDIRECT("Checklist!$A1027"), "FALSE") = 1</formula>
    </cfRule>
    <cfRule type="notContainsBlanks" dxfId="5" priority="2162">
      <formula>LEN(TRIM(C157))&gt;0</formula>
    </cfRule>
  </conditionalFormatting>
  <conditionalFormatting sqref="C158">
    <cfRule type="expression" dxfId="0" priority="2178">
      <formula>COUNTIF(INDIRECT("Checklist!$A1030"), "TRUE") = 1</formula>
    </cfRule>
    <cfRule type="expression" dxfId="1" priority="2179">
      <formula>COUNTIF(INDIRECT("Checklist!$A1030"), "FALSE") = 1</formula>
    </cfRule>
    <cfRule type="notContainsBlanks" dxfId="5" priority="2180">
      <formula>LEN(TRIM(C158))&gt;0</formula>
    </cfRule>
  </conditionalFormatting>
  <conditionalFormatting sqref="C159">
    <cfRule type="expression" dxfId="0" priority="2196">
      <formula>COUNTIF(INDIRECT("Checklist!$A1035"), "TRUE") = 1</formula>
    </cfRule>
    <cfRule type="expression" dxfId="1" priority="2197">
      <formula>COUNTIF(INDIRECT("Checklist!$A1035"), "FALSE") = 1</formula>
    </cfRule>
    <cfRule type="notContainsBlanks" dxfId="5" priority="2198">
      <formula>LEN(TRIM(C159))&gt;0</formula>
    </cfRule>
  </conditionalFormatting>
  <conditionalFormatting sqref="C163">
    <cfRule type="expression" dxfId="0" priority="2225">
      <formula>COUNTIF(INDIRECT("Checklist!$None"), "TRUE") = 1</formula>
    </cfRule>
    <cfRule type="expression" dxfId="1" priority="2226">
      <formula>COUNTIF(INDIRECT("Checklist!$None"), "FALSE") = 1</formula>
    </cfRule>
    <cfRule type="notContainsBlanks" dxfId="5" priority="2227">
      <formula>LEN(TRIM(C163))&gt;0</formula>
    </cfRule>
  </conditionalFormatting>
  <conditionalFormatting sqref="C164">
    <cfRule type="expression" dxfId="0" priority="2243">
      <formula>COUNTIF(INDIRECT("Checklist!$None"), "TRUE") = 1</formula>
    </cfRule>
    <cfRule type="expression" dxfId="1" priority="2244">
      <formula>COUNTIF(INDIRECT("Checklist!$None"), "FALSE") = 1</formula>
    </cfRule>
    <cfRule type="notContainsBlanks" dxfId="5" priority="2245">
      <formula>LEN(TRIM(C164))&gt;0</formula>
    </cfRule>
  </conditionalFormatting>
  <conditionalFormatting sqref="C165">
    <cfRule type="expression" dxfId="0" priority="2261">
      <formula>COUNTIF(INDIRECT("Checklist!$None"), "TRUE") = 1</formula>
    </cfRule>
    <cfRule type="expression" dxfId="1" priority="2262">
      <formula>COUNTIF(INDIRECT("Checklist!$None"), "FALSE") = 1</formula>
    </cfRule>
    <cfRule type="notContainsBlanks" dxfId="5" priority="2263">
      <formula>LEN(TRIM(C165))&gt;0</formula>
    </cfRule>
  </conditionalFormatting>
  <conditionalFormatting sqref="C166">
    <cfRule type="expression" dxfId="0" priority="2279">
      <formula>COUNTIF(INDIRECT("Checklist!$A1097"), "TRUE") = 1</formula>
    </cfRule>
    <cfRule type="expression" dxfId="1" priority="2280">
      <formula>COUNTIF(INDIRECT("Checklist!$A1097"), "FALSE") = 1</formula>
    </cfRule>
    <cfRule type="notContainsBlanks" dxfId="5" priority="2281">
      <formula>LEN(TRIM(C166))&gt;0</formula>
    </cfRule>
  </conditionalFormatting>
  <conditionalFormatting sqref="C167">
    <cfRule type="expression" dxfId="0" priority="2297">
      <formula>COUNTIF(INDIRECT("Checklist!$None"), "TRUE") = 1</formula>
    </cfRule>
    <cfRule type="expression" dxfId="1" priority="2298">
      <formula>COUNTIF(INDIRECT("Checklist!$None"), "FALSE") = 1</formula>
    </cfRule>
    <cfRule type="notContainsBlanks" dxfId="5" priority="2299">
      <formula>LEN(TRIM(C167))&gt;0</formula>
    </cfRule>
  </conditionalFormatting>
  <conditionalFormatting sqref="C171">
    <cfRule type="expression" dxfId="0" priority="2335">
      <formula>COUNTIF(INDIRECT("Checklist!$A1134"), "TRUE") = 1</formula>
    </cfRule>
    <cfRule type="expression" dxfId="1" priority="2336">
      <formula>COUNTIF(INDIRECT("Checklist!$A1134"), "FALSE") = 1</formula>
    </cfRule>
    <cfRule type="notContainsBlanks" dxfId="5" priority="2337">
      <formula>LEN(TRIM(C171))&gt;0</formula>
    </cfRule>
  </conditionalFormatting>
  <conditionalFormatting sqref="C172">
    <cfRule type="expression" dxfId="0" priority="2353">
      <formula>COUNTIF(INDIRECT("Checklist!$None"), "TRUE") = 1</formula>
    </cfRule>
    <cfRule type="expression" dxfId="1" priority="2354">
      <formula>COUNTIF(INDIRECT("Checklist!$None"), "FALSE") = 1</formula>
    </cfRule>
    <cfRule type="notContainsBlanks" dxfId="5" priority="2355">
      <formula>LEN(TRIM(C172))&gt;0</formula>
    </cfRule>
  </conditionalFormatting>
  <conditionalFormatting sqref="C173">
    <cfRule type="expression" dxfId="0" priority="2371">
      <formula>COUNTIF(INDIRECT("Checklist!$A1148"), "TRUE") = 1</formula>
    </cfRule>
    <cfRule type="expression" dxfId="1" priority="2372">
      <formula>COUNTIF(INDIRECT("Checklist!$A1148"), "FALSE") = 1</formula>
    </cfRule>
    <cfRule type="notContainsBlanks" dxfId="5" priority="2373">
      <formula>LEN(TRIM(C173))&gt;0</formula>
    </cfRule>
  </conditionalFormatting>
  <conditionalFormatting sqref="C174">
    <cfRule type="expression" dxfId="0" priority="2389">
      <formula>COUNTIF(INDIRECT("Checklist!$A802"), "TRUE") = 1</formula>
    </cfRule>
    <cfRule type="expression" dxfId="1" priority="2390">
      <formula>COUNTIF(INDIRECT("Checklist!$A802"), "FALSE") = 1</formula>
    </cfRule>
    <cfRule type="notContainsBlanks" dxfId="5" priority="2391">
      <formula>LEN(TRIM(C174))&gt;0</formula>
    </cfRule>
  </conditionalFormatting>
  <conditionalFormatting sqref="C179">
    <cfRule type="expression" dxfId="0" priority="2425">
      <formula>COUNTIF(INDIRECT("Checklist!$None"), "TRUE") = 1</formula>
    </cfRule>
    <cfRule type="expression" dxfId="1" priority="2426">
      <formula>COUNTIF(INDIRECT("Checklist!$None"), "FALSE") = 1</formula>
    </cfRule>
    <cfRule type="notContainsBlanks" dxfId="5" priority="2427">
      <formula>LEN(TRIM(C179))&gt;0</formula>
    </cfRule>
  </conditionalFormatting>
  <conditionalFormatting sqref="C180">
    <cfRule type="expression" dxfId="0" priority="2443">
      <formula>COUNTIF(INDIRECT("Checklist!$None"), "TRUE") = 1</formula>
    </cfRule>
    <cfRule type="expression" dxfId="1" priority="2444">
      <formula>COUNTIF(INDIRECT("Checklist!$None"), "FALSE") = 1</formula>
    </cfRule>
    <cfRule type="notContainsBlanks" dxfId="5" priority="2445">
      <formula>LEN(TRIM(C180))&gt;0</formula>
    </cfRule>
  </conditionalFormatting>
  <conditionalFormatting sqref="C181">
    <cfRule type="expression" dxfId="0" priority="2461">
      <formula>COUNTIF(INDIRECT("Checklist!$None"), "TRUE") = 1</formula>
    </cfRule>
    <cfRule type="expression" dxfId="1" priority="2462">
      <formula>COUNTIF(INDIRECT("Checklist!$None"), "FALSE") = 1</formula>
    </cfRule>
    <cfRule type="notContainsBlanks" dxfId="5" priority="2463">
      <formula>LEN(TRIM(C181))&gt;0</formula>
    </cfRule>
  </conditionalFormatting>
  <conditionalFormatting sqref="C182">
    <cfRule type="expression" dxfId="0" priority="2479">
      <formula>COUNTIF(INDIRECT("Checklist!$None"), "TRUE") = 1</formula>
    </cfRule>
    <cfRule type="expression" dxfId="1" priority="2480">
      <formula>COUNTIF(INDIRECT("Checklist!$None"), "FALSE") = 1</formula>
    </cfRule>
    <cfRule type="notContainsBlanks" dxfId="5" priority="2481">
      <formula>LEN(TRIM(C182))&gt;0</formula>
    </cfRule>
  </conditionalFormatting>
  <conditionalFormatting sqref="C183">
    <cfRule type="expression" dxfId="0" priority="2497">
      <formula>COUNTIF(INDIRECT("Checklist!$None"), "TRUE") = 1</formula>
    </cfRule>
    <cfRule type="expression" dxfId="1" priority="2498">
      <formula>COUNTIF(INDIRECT("Checklist!$None"), "FALSE") = 1</formula>
    </cfRule>
    <cfRule type="notContainsBlanks" dxfId="5" priority="2499">
      <formula>LEN(TRIM(C183))&gt;0</formula>
    </cfRule>
  </conditionalFormatting>
  <conditionalFormatting sqref="C187">
    <cfRule type="expression" dxfId="0" priority="2537">
      <formula>COUNTIF(INDIRECT("Checklist!$None"), "TRUE") = 1</formula>
    </cfRule>
    <cfRule type="expression" dxfId="1" priority="2538">
      <formula>COUNTIF(INDIRECT("Checklist!$None"), "FALSE") = 1</formula>
    </cfRule>
    <cfRule type="notContainsBlanks" dxfId="5" priority="2539">
      <formula>LEN(TRIM(C187))&gt;0</formula>
    </cfRule>
  </conditionalFormatting>
  <conditionalFormatting sqref="C19">
    <cfRule type="expression" dxfId="0" priority="244">
      <formula>COUNTIF(INDIRECT("Checklist!$None"), "TRUE") = 1</formula>
    </cfRule>
    <cfRule type="expression" dxfId="1" priority="245">
      <formula>COUNTIF(INDIRECT("Checklist!$None"), "FALSE") = 1</formula>
    </cfRule>
    <cfRule type="notContainsBlanks" dxfId="5" priority="246">
      <formula>LEN(TRIM(C19))&gt;0</formula>
    </cfRule>
  </conditionalFormatting>
  <conditionalFormatting sqref="C195">
    <cfRule type="expression" dxfId="0" priority="2588">
      <formula>COUNTIF(INDIRECT("Checklist!$A859"), "TRUE") = 1</formula>
    </cfRule>
    <cfRule type="expression" dxfId="1" priority="2589">
      <formula>COUNTIF(INDIRECT("Checklist!$A859"), "FALSE") = 1</formula>
    </cfRule>
    <cfRule type="notContainsBlanks" dxfId="5" priority="2590">
      <formula>LEN(TRIM(C195))&gt;0</formula>
    </cfRule>
  </conditionalFormatting>
  <conditionalFormatting sqref="C196">
    <cfRule type="expression" dxfId="0" priority="2606">
      <formula>COUNTIF(INDIRECT("Checklist!$A1202"), "TRUE") = 1</formula>
    </cfRule>
    <cfRule type="expression" dxfId="1" priority="2607">
      <formula>COUNTIF(INDIRECT("Checklist!$A1202"), "FALSE") = 1</formula>
    </cfRule>
    <cfRule type="notContainsBlanks" dxfId="5" priority="2608">
      <formula>LEN(TRIM(C196))&gt;0</formula>
    </cfRule>
  </conditionalFormatting>
  <conditionalFormatting sqref="C20">
    <cfRule type="expression" dxfId="0" priority="262">
      <formula>COUNTIF(INDIRECT("Checklist!$A129"), "TRUE") = 1</formula>
    </cfRule>
    <cfRule type="expression" dxfId="1" priority="263">
      <formula>COUNTIF(INDIRECT("Checklist!$A129"), "FALSE") = 1</formula>
    </cfRule>
    <cfRule type="notContainsBlanks" dxfId="5" priority="264">
      <formula>LEN(TRIM(C20))&gt;0</formula>
    </cfRule>
  </conditionalFormatting>
  <conditionalFormatting sqref="C203">
    <cfRule type="expression" dxfId="0" priority="2612">
      <formula>COUNTIF(INDIRECT("Checklist!$A1103"), "TRUE") = 1</formula>
    </cfRule>
    <cfRule type="expression" dxfId="1" priority="2613">
      <formula>COUNTIF(INDIRECT("Checklist!$A1103"), "FALSE") = 1</formula>
    </cfRule>
    <cfRule type="notContainsBlanks" dxfId="5" priority="2614">
      <formula>LEN(TRIM(C203))&gt;0</formula>
    </cfRule>
  </conditionalFormatting>
  <conditionalFormatting sqref="C204">
    <cfRule type="expression" dxfId="0" priority="2630">
      <formula>COUNTIF(INDIRECT("Checklist!$A1116"), "TRUE") = 1</formula>
    </cfRule>
    <cfRule type="expression" dxfId="1" priority="2631">
      <formula>COUNTIF(INDIRECT("Checklist!$A1116"), "FALSE") = 1</formula>
    </cfRule>
    <cfRule type="notContainsBlanks" dxfId="5" priority="2632">
      <formula>LEN(TRIM(C204))&gt;0</formula>
    </cfRule>
  </conditionalFormatting>
  <conditionalFormatting sqref="C205">
    <cfRule type="expression" dxfId="0" priority="2648">
      <formula>COUNTIF(INDIRECT("Checklist!$A1122"), "TRUE") = 1</formula>
    </cfRule>
    <cfRule type="expression" dxfId="1" priority="2649">
      <formula>COUNTIF(INDIRECT("Checklist!$A1122"), "FALSE") = 1</formula>
    </cfRule>
    <cfRule type="notContainsBlanks" dxfId="5" priority="2650">
      <formula>LEN(TRIM(C205))&gt;0</formula>
    </cfRule>
  </conditionalFormatting>
  <conditionalFormatting sqref="C21">
    <cfRule type="expression" dxfId="0" priority="280">
      <formula>COUNTIF(INDIRECT("Checklist!$A135"), "TRUE") = 1</formula>
    </cfRule>
    <cfRule type="expression" dxfId="1" priority="281">
      <formula>COUNTIF(INDIRECT("Checklist!$A135"), "FALSE") = 1</formula>
    </cfRule>
    <cfRule type="notContainsBlanks" dxfId="5" priority="282">
      <formula>LEN(TRIM(C21))&gt;0</formula>
    </cfRule>
  </conditionalFormatting>
  <conditionalFormatting sqref="C211">
    <cfRule type="expression" dxfId="0" priority="2685">
      <formula>COUNTIF(INDIRECT("Checklist!$A1241"), "TRUE") = 1</formula>
    </cfRule>
    <cfRule type="expression" dxfId="1" priority="2686">
      <formula>COUNTIF(INDIRECT("Checklist!$A1241"), "FALSE") = 1</formula>
    </cfRule>
    <cfRule type="notContainsBlanks" dxfId="5" priority="2687">
      <formula>LEN(TRIM(C211))&gt;0</formula>
    </cfRule>
  </conditionalFormatting>
  <conditionalFormatting sqref="C212">
    <cfRule type="expression" dxfId="0" priority="2703">
      <formula>COUNTIF(INDIRECT("Checklist!$A1247"), "TRUE") = 1</formula>
    </cfRule>
    <cfRule type="expression" dxfId="1" priority="2704">
      <formula>COUNTIF(INDIRECT("Checklist!$A1247"), "FALSE") = 1</formula>
    </cfRule>
    <cfRule type="notContainsBlanks" dxfId="5" priority="2705">
      <formula>LEN(TRIM(C212))&gt;0</formula>
    </cfRule>
  </conditionalFormatting>
  <conditionalFormatting sqref="C213">
    <cfRule type="expression" dxfId="0" priority="2721">
      <formula>COUNTIF(INDIRECT("Checklist!$A1252"), "TRUE") = 1</formula>
    </cfRule>
    <cfRule type="expression" dxfId="1" priority="2722">
      <formula>COUNTIF(INDIRECT("Checklist!$A1252"), "FALSE") = 1</formula>
    </cfRule>
    <cfRule type="notContainsBlanks" dxfId="5" priority="2723">
      <formula>LEN(TRIM(C213))&gt;0</formula>
    </cfRule>
  </conditionalFormatting>
  <conditionalFormatting sqref="C22">
    <cfRule type="expression" dxfId="0" priority="298">
      <formula>COUNTIF(INDIRECT("Checklist!$A141"), "TRUE") = 1</formula>
    </cfRule>
    <cfRule type="expression" dxfId="1" priority="299">
      <formula>COUNTIF(INDIRECT("Checklist!$A141"), "FALSE") = 1</formula>
    </cfRule>
    <cfRule type="notContainsBlanks" dxfId="5" priority="300">
      <formula>LEN(TRIM(C22))&gt;0</formula>
    </cfRule>
  </conditionalFormatting>
  <conditionalFormatting sqref="C23">
    <cfRule type="expression" dxfId="0" priority="316">
      <formula>COUNTIF(INDIRECT("Checklist!$A147"), "TRUE") = 1</formula>
    </cfRule>
    <cfRule type="expression" dxfId="1" priority="317">
      <formula>COUNTIF(INDIRECT("Checklist!$A147"), "FALSE") = 1</formula>
    </cfRule>
    <cfRule type="notContainsBlanks" dxfId="5" priority="318">
      <formula>LEN(TRIM(C23))&gt;0</formula>
    </cfRule>
  </conditionalFormatting>
  <conditionalFormatting sqref="C27">
    <cfRule type="expression" dxfId="0" priority="364">
      <formula>COUNTIF(INDIRECT("Checklist!$A183"), "TRUE") = 1</formula>
    </cfRule>
    <cfRule type="expression" dxfId="1" priority="365">
      <formula>COUNTIF(INDIRECT("Checklist!$A183"), "FALSE") = 1</formula>
    </cfRule>
    <cfRule type="notContainsBlanks" dxfId="5" priority="366">
      <formula>LEN(TRIM(C27))&gt;0</formula>
    </cfRule>
  </conditionalFormatting>
  <conditionalFormatting sqref="C28">
    <cfRule type="expression" dxfId="0" priority="382">
      <formula>COUNTIF(INDIRECT("Checklist!$A189"), "TRUE") = 1</formula>
    </cfRule>
    <cfRule type="expression" dxfId="1" priority="383">
      <formula>COUNTIF(INDIRECT("Checklist!$A189"), "FALSE") = 1</formula>
    </cfRule>
    <cfRule type="notContainsBlanks" dxfId="5" priority="384">
      <formula>LEN(TRIM(C28))&gt;0</formula>
    </cfRule>
  </conditionalFormatting>
  <conditionalFormatting sqref="C29">
    <cfRule type="expression" dxfId="0" priority="400">
      <formula>COUNTIF(INDIRECT("Checklist!$A195"), "TRUE") = 1</formula>
    </cfRule>
    <cfRule type="expression" dxfId="1" priority="401">
      <formula>COUNTIF(INDIRECT("Checklist!$A195"), "FALSE") = 1</formula>
    </cfRule>
    <cfRule type="notContainsBlanks" dxfId="5" priority="40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418">
      <formula>COUNTIF(INDIRECT("Checklist!$A201"), "TRUE") = 1</formula>
    </cfRule>
    <cfRule type="expression" dxfId="1" priority="419">
      <formula>COUNTIF(INDIRECT("Checklist!$A201"), "FALSE") = 1</formula>
    </cfRule>
    <cfRule type="notContainsBlanks" dxfId="5" priority="420">
      <formula>LEN(TRIM(C30))&gt;0</formula>
    </cfRule>
  </conditionalFormatting>
  <conditionalFormatting sqref="C31">
    <cfRule type="expression" dxfId="0" priority="436">
      <formula>COUNTIF(INDIRECT("Checklist!$A207"), "TRUE") = 1</formula>
    </cfRule>
    <cfRule type="expression" dxfId="1" priority="437">
      <formula>COUNTIF(INDIRECT("Checklist!$A207"), "FALSE") = 1</formula>
    </cfRule>
    <cfRule type="notContainsBlanks" dxfId="5" priority="438">
      <formula>LEN(TRIM(C31))&gt;0</formula>
    </cfRule>
  </conditionalFormatting>
  <conditionalFormatting sqref="C35">
    <cfRule type="expression" dxfId="0" priority="484">
      <formula>COUNTIF(INDIRECT("Checklist!$A243"), "TRUE") = 1</formula>
    </cfRule>
    <cfRule type="expression" dxfId="1" priority="485">
      <formula>COUNTIF(INDIRECT("Checklist!$A243"), "FALSE") = 1</formula>
    </cfRule>
    <cfRule type="notContainsBlanks" dxfId="5" priority="486">
      <formula>LEN(TRIM(C35))&gt;0</formula>
    </cfRule>
  </conditionalFormatting>
  <conditionalFormatting sqref="C36">
    <cfRule type="expression" dxfId="0" priority="502">
      <formula>COUNTIF(INDIRECT("Checklist!$A249"), "TRUE") = 1</formula>
    </cfRule>
    <cfRule type="expression" dxfId="1" priority="503">
      <formula>COUNTIF(INDIRECT("Checklist!$A249"), "FALSE") = 1</formula>
    </cfRule>
    <cfRule type="notContainsBlanks" dxfId="5" priority="504">
      <formula>LEN(TRIM(C36))&gt;0</formula>
    </cfRule>
  </conditionalFormatting>
  <conditionalFormatting sqref="C37">
    <cfRule type="expression" dxfId="0" priority="520">
      <formula>COUNTIF(INDIRECT("Checklist!$A255"), "TRUE") = 1</formula>
    </cfRule>
    <cfRule type="expression" dxfId="1" priority="521">
      <formula>COUNTIF(INDIRECT("Checklist!$A255"), "FALSE") = 1</formula>
    </cfRule>
    <cfRule type="notContainsBlanks" dxfId="5" priority="522">
      <formula>LEN(TRIM(C37))&gt;0</formula>
    </cfRule>
  </conditionalFormatting>
  <conditionalFormatting sqref="C38">
    <cfRule type="expression" dxfId="0" priority="538">
      <formula>COUNTIF(INDIRECT("Checklist!$A261"), "TRUE") = 1</formula>
    </cfRule>
    <cfRule type="expression" dxfId="1" priority="539">
      <formula>COUNTIF(INDIRECT("Checklist!$A261"), "FALSE") = 1</formula>
    </cfRule>
    <cfRule type="notContainsBlanks" dxfId="5" priority="540">
      <formula>LEN(TRIM(C38))&gt;0</formula>
    </cfRule>
  </conditionalFormatting>
  <conditionalFormatting sqref="C39">
    <cfRule type="expression" dxfId="0" priority="556">
      <formula>COUNTIF(INDIRECT("Checklist!$A267"), "TRUE") = 1</formula>
    </cfRule>
    <cfRule type="expression" dxfId="1" priority="557">
      <formula>COUNTIF(INDIRECT("Checklist!$A267"), "FALSE") = 1</formula>
    </cfRule>
    <cfRule type="notContainsBlanks" dxfId="5" priority="55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604">
      <formula>COUNTIF(INDIRECT("Checklist!$A303"), "TRUE") = 1</formula>
    </cfRule>
    <cfRule type="expression" dxfId="1" priority="605">
      <formula>COUNTIF(INDIRECT("Checklist!$A303"), "FALSE") = 1</formula>
    </cfRule>
    <cfRule type="notContainsBlanks" dxfId="5" priority="606">
      <formula>LEN(TRIM(C43))&gt;0</formula>
    </cfRule>
  </conditionalFormatting>
  <conditionalFormatting sqref="C44">
    <cfRule type="expression" dxfId="0" priority="622">
      <formula>COUNTIF(INDIRECT("Checklist!$A309"), "TRUE") = 1</formula>
    </cfRule>
    <cfRule type="expression" dxfId="1" priority="623">
      <formula>COUNTIF(INDIRECT("Checklist!$A309"), "FALSE") = 1</formula>
    </cfRule>
    <cfRule type="notContainsBlanks" dxfId="5" priority="624">
      <formula>LEN(TRIM(C44))&gt;0</formula>
    </cfRule>
  </conditionalFormatting>
  <conditionalFormatting sqref="C45">
    <cfRule type="expression" dxfId="0" priority="640">
      <formula>COUNTIF(INDIRECT("Checklist!$A315"), "TRUE") = 1</formula>
    </cfRule>
    <cfRule type="expression" dxfId="1" priority="641">
      <formula>COUNTIF(INDIRECT("Checklist!$A315"), "FALSE") = 1</formula>
    </cfRule>
    <cfRule type="notContainsBlanks" dxfId="5" priority="642">
      <formula>LEN(TRIM(C45))&gt;0</formula>
    </cfRule>
  </conditionalFormatting>
  <conditionalFormatting sqref="C46">
    <cfRule type="expression" dxfId="0" priority="658">
      <formula>COUNTIF(INDIRECT("Checklist!$A321"), "TRUE") = 1</formula>
    </cfRule>
    <cfRule type="expression" dxfId="1" priority="659">
      <formula>COUNTIF(INDIRECT("Checklist!$A321"), "FALSE") = 1</formula>
    </cfRule>
    <cfRule type="notContainsBlanks" dxfId="5" priority="660">
      <formula>LEN(TRIM(C46))&gt;0</formula>
    </cfRule>
  </conditionalFormatting>
  <conditionalFormatting sqref="C47">
    <cfRule type="expression" dxfId="0" priority="676">
      <formula>COUNTIF(INDIRECT("Checklist!$A327"), "TRUE") = 1</formula>
    </cfRule>
    <cfRule type="expression" dxfId="1" priority="677">
      <formula>COUNTIF(INDIRECT("Checklist!$A327"), "FALSE") = 1</formula>
    </cfRule>
    <cfRule type="notContainsBlanks" dxfId="5" priority="6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724">
      <formula>COUNTIF(INDIRECT("Checklist!$A363"), "TRUE") = 1</formula>
    </cfRule>
    <cfRule type="expression" dxfId="1" priority="725">
      <formula>COUNTIF(INDIRECT("Checklist!$A363"), "FALSE") = 1</formula>
    </cfRule>
    <cfRule type="notContainsBlanks" dxfId="5" priority="726">
      <formula>LEN(TRIM(C51))&gt;0</formula>
    </cfRule>
  </conditionalFormatting>
  <conditionalFormatting sqref="C52">
    <cfRule type="expression" dxfId="0" priority="742">
      <formula>COUNTIF(INDIRECT("Checklist!$A369"), "TRUE") = 1</formula>
    </cfRule>
    <cfRule type="expression" dxfId="1" priority="743">
      <formula>COUNTIF(INDIRECT("Checklist!$A369"), "FALSE") = 1</formula>
    </cfRule>
    <cfRule type="notContainsBlanks" dxfId="5" priority="744">
      <formula>LEN(TRIM(C52))&gt;0</formula>
    </cfRule>
  </conditionalFormatting>
  <conditionalFormatting sqref="C53">
    <cfRule type="expression" dxfId="0" priority="760">
      <formula>COUNTIF(INDIRECT("Checklist!$A375"), "TRUE") = 1</formula>
    </cfRule>
    <cfRule type="expression" dxfId="1" priority="761">
      <formula>COUNTIF(INDIRECT("Checklist!$A375"), "FALSE") = 1</formula>
    </cfRule>
    <cfRule type="notContainsBlanks" dxfId="5" priority="762">
      <formula>LEN(TRIM(C53))&gt;0</formula>
    </cfRule>
  </conditionalFormatting>
  <conditionalFormatting sqref="C54">
    <cfRule type="expression" dxfId="0" priority="778">
      <formula>COUNTIF(INDIRECT("Checklist!$A381"), "TRUE") = 1</formula>
    </cfRule>
    <cfRule type="expression" dxfId="1" priority="779">
      <formula>COUNTIF(INDIRECT("Checklist!$A381"), "FALSE") = 1</formula>
    </cfRule>
    <cfRule type="notContainsBlanks" dxfId="5" priority="780">
      <formula>LEN(TRIM(C54))&gt;0</formula>
    </cfRule>
  </conditionalFormatting>
  <conditionalFormatting sqref="C55">
    <cfRule type="expression" dxfId="0" priority="796">
      <formula>COUNTIF(INDIRECT("Checklist!$None"), "TRUE") = 1</formula>
    </cfRule>
    <cfRule type="expression" dxfId="1" priority="797">
      <formula>COUNTIF(INDIRECT("Checklist!$None"), "FALSE") = 1</formula>
    </cfRule>
    <cfRule type="notContainsBlanks" dxfId="5" priority="798">
      <formula>LEN(TRIM(C55))&gt;0</formula>
    </cfRule>
  </conditionalFormatting>
  <conditionalFormatting sqref="C59">
    <cfRule type="expression" dxfId="0" priority="844">
      <formula>COUNTIF(INDIRECT("Checklist!$A423"), "TRUE") = 1</formula>
    </cfRule>
    <cfRule type="expression" dxfId="1" priority="845">
      <formula>COUNTIF(INDIRECT("Checklist!$A423"), "FALSE") = 1</formula>
    </cfRule>
    <cfRule type="notContainsBlanks" dxfId="5" priority="84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862">
      <formula>COUNTIF(INDIRECT("Checklist!$A429"), "TRUE") = 1</formula>
    </cfRule>
    <cfRule type="expression" dxfId="1" priority="863">
      <formula>COUNTIF(INDIRECT("Checklist!$A429"), "FALSE") = 1</formula>
    </cfRule>
    <cfRule type="notContainsBlanks" dxfId="5" priority="864">
      <formula>LEN(TRIM(C60))&gt;0</formula>
    </cfRule>
  </conditionalFormatting>
  <conditionalFormatting sqref="C61">
    <cfRule type="expression" dxfId="0" priority="880">
      <formula>COUNTIF(INDIRECT("Checklist!$A435"), "TRUE") = 1</formula>
    </cfRule>
    <cfRule type="expression" dxfId="1" priority="881">
      <formula>COUNTIF(INDIRECT("Checklist!$A435"), "FALSE") = 1</formula>
    </cfRule>
    <cfRule type="notContainsBlanks" dxfId="5" priority="882">
      <formula>LEN(TRIM(C61))&gt;0</formula>
    </cfRule>
  </conditionalFormatting>
  <conditionalFormatting sqref="C62">
    <cfRule type="expression" dxfId="0" priority="898">
      <formula>COUNTIF(INDIRECT("Checklist!$A441"), "TRUE") = 1</formula>
    </cfRule>
    <cfRule type="expression" dxfId="1" priority="899">
      <formula>COUNTIF(INDIRECT("Checklist!$A441"), "FALSE") = 1</formula>
    </cfRule>
    <cfRule type="notContainsBlanks" dxfId="5" priority="900">
      <formula>LEN(TRIM(C62))&gt;0</formula>
    </cfRule>
  </conditionalFormatting>
  <conditionalFormatting sqref="C63">
    <cfRule type="expression" dxfId="0" priority="916">
      <formula>COUNTIF(INDIRECT("Checklist!$A447"), "TRUE") = 1</formula>
    </cfRule>
    <cfRule type="expression" dxfId="1" priority="917">
      <formula>COUNTIF(INDIRECT("Checklist!$A447"), "FALSE") = 1</formula>
    </cfRule>
    <cfRule type="notContainsBlanks" dxfId="5" priority="918">
      <formula>LEN(TRIM(C63))&gt;0</formula>
    </cfRule>
  </conditionalFormatting>
  <conditionalFormatting sqref="C67">
    <cfRule type="expression" dxfId="0" priority="964">
      <formula>COUNTIF(INDIRECT("Checklist!$A483"), "TRUE") = 1</formula>
    </cfRule>
    <cfRule type="expression" dxfId="1" priority="965">
      <formula>COUNTIF(INDIRECT("Checklist!$A483"), "FALSE") = 1</formula>
    </cfRule>
    <cfRule type="notContainsBlanks" dxfId="5" priority="966">
      <formula>LEN(TRIM(C67))&gt;0</formula>
    </cfRule>
  </conditionalFormatting>
  <conditionalFormatting sqref="C68">
    <cfRule type="expression" dxfId="0" priority="982">
      <formula>COUNTIF(INDIRECT("Checklist!$A489"), "TRUE") = 1</formula>
    </cfRule>
    <cfRule type="expression" dxfId="1" priority="983">
      <formula>COUNTIF(INDIRECT("Checklist!$A489"), "FALSE") = 1</formula>
    </cfRule>
    <cfRule type="notContainsBlanks" dxfId="5" priority="984">
      <formula>LEN(TRIM(C68))&gt;0</formula>
    </cfRule>
  </conditionalFormatting>
  <conditionalFormatting sqref="C69">
    <cfRule type="expression" dxfId="0" priority="1000">
      <formula>COUNTIF(INDIRECT("Checklist!$A495"), "TRUE") = 1</formula>
    </cfRule>
    <cfRule type="expression" dxfId="1" priority="1001">
      <formula>COUNTIF(INDIRECT("Checklist!$A495"), "FALSE") = 1</formula>
    </cfRule>
    <cfRule type="notContainsBlanks" dxfId="5" priority="100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018">
      <formula>COUNTIF(INDIRECT("Checklist!$A501"), "TRUE") = 1</formula>
    </cfRule>
    <cfRule type="expression" dxfId="1" priority="1019">
      <formula>COUNTIF(INDIRECT("Checklist!$A501"), "FALSE") = 1</formula>
    </cfRule>
    <cfRule type="notContainsBlanks" dxfId="5" priority="1020">
      <formula>LEN(TRIM(C70))&gt;0</formula>
    </cfRule>
  </conditionalFormatting>
  <conditionalFormatting sqref="C71">
    <cfRule type="expression" dxfId="0" priority="1036">
      <formula>COUNTIF(INDIRECT("Checklist!$A507"), "TRUE") = 1</formula>
    </cfRule>
    <cfRule type="expression" dxfId="1" priority="1037">
      <formula>COUNTIF(INDIRECT("Checklist!$A507"), "FALSE") = 1</formula>
    </cfRule>
    <cfRule type="notContainsBlanks" dxfId="5" priority="1038">
      <formula>LEN(TRIM(C71))&gt;0</formula>
    </cfRule>
  </conditionalFormatting>
  <conditionalFormatting sqref="C75">
    <cfRule type="expression" dxfId="0" priority="1084">
      <formula>COUNTIF(INDIRECT("Checklist!$A543"), "TRUE") = 1</formula>
    </cfRule>
    <cfRule type="expression" dxfId="1" priority="1085">
      <formula>COUNTIF(INDIRECT("Checklist!$A543"), "FALSE") = 1</formula>
    </cfRule>
    <cfRule type="notContainsBlanks" dxfId="5" priority="1086">
      <formula>LEN(TRIM(C75))&gt;0</formula>
    </cfRule>
  </conditionalFormatting>
  <conditionalFormatting sqref="C76">
    <cfRule type="expression" dxfId="0" priority="1102">
      <formula>COUNTIF(INDIRECT("Checklist!$A549"), "TRUE") = 1</formula>
    </cfRule>
    <cfRule type="expression" dxfId="1" priority="1103">
      <formula>COUNTIF(INDIRECT("Checklist!$A549"), "FALSE") = 1</formula>
    </cfRule>
    <cfRule type="notContainsBlanks" dxfId="5" priority="1104">
      <formula>LEN(TRIM(C76))&gt;0</formula>
    </cfRule>
  </conditionalFormatting>
  <conditionalFormatting sqref="C77">
    <cfRule type="expression" dxfId="0" priority="1120">
      <formula>COUNTIF(INDIRECT("Checklist!$A555"), "TRUE") = 1</formula>
    </cfRule>
    <cfRule type="expression" dxfId="1" priority="1121">
      <formula>COUNTIF(INDIRECT("Checklist!$A555"), "FALSE") = 1</formula>
    </cfRule>
    <cfRule type="notContainsBlanks" dxfId="5" priority="1122">
      <formula>LEN(TRIM(C77))&gt;0</formula>
    </cfRule>
  </conditionalFormatting>
  <conditionalFormatting sqref="C78">
    <cfRule type="expression" dxfId="0" priority="1138">
      <formula>COUNTIF(INDIRECT("Checklist!$A561"), "TRUE") = 1</formula>
    </cfRule>
    <cfRule type="expression" dxfId="1" priority="1139">
      <formula>COUNTIF(INDIRECT("Checklist!$A561"), "FALSE") = 1</formula>
    </cfRule>
    <cfRule type="notContainsBlanks" dxfId="5" priority="1140">
      <formula>LEN(TRIM(C78))&gt;0</formula>
    </cfRule>
  </conditionalFormatting>
  <conditionalFormatting sqref="C79">
    <cfRule type="expression" dxfId="0" priority="1156">
      <formula>COUNTIF(INDIRECT("Checklist!$A567"), "TRUE") = 1</formula>
    </cfRule>
    <cfRule type="expression" dxfId="1" priority="1157">
      <formula>COUNTIF(INDIRECT("Checklist!$A567"), "FALSE") = 1</formula>
    </cfRule>
    <cfRule type="notContainsBlanks" dxfId="5" priority="1158">
      <formula>LEN(TRIM(C79))&gt;0</formula>
    </cfRule>
  </conditionalFormatting>
  <conditionalFormatting sqref="C83">
    <cfRule type="expression" dxfId="0" priority="1204">
      <formula>COUNTIF(INDIRECT("Checklist!$A603"), "TRUE") = 1</formula>
    </cfRule>
    <cfRule type="expression" dxfId="1" priority="1205">
      <formula>COUNTIF(INDIRECT("Checklist!$A603"), "FALSE") = 1</formula>
    </cfRule>
    <cfRule type="notContainsBlanks" dxfId="5" priority="1206">
      <formula>LEN(TRIM(C83))&gt;0</formula>
    </cfRule>
  </conditionalFormatting>
  <conditionalFormatting sqref="C84">
    <cfRule type="expression" dxfId="0" priority="1222">
      <formula>COUNTIF(INDIRECT("Checklist!$A609"), "TRUE") = 1</formula>
    </cfRule>
    <cfRule type="expression" dxfId="1" priority="1223">
      <formula>COUNTIF(INDIRECT("Checklist!$A609"), "FALSE") = 1</formula>
    </cfRule>
    <cfRule type="notContainsBlanks" dxfId="5" priority="1224">
      <formula>LEN(TRIM(C84))&gt;0</formula>
    </cfRule>
  </conditionalFormatting>
  <conditionalFormatting sqref="C85">
    <cfRule type="expression" dxfId="0" priority="1240">
      <formula>COUNTIF(INDIRECT("Checklist!$A615"), "TRUE") = 1</formula>
    </cfRule>
    <cfRule type="expression" dxfId="1" priority="1241">
      <formula>COUNTIF(INDIRECT("Checklist!$A615"), "FALSE") = 1</formula>
    </cfRule>
    <cfRule type="notContainsBlanks" dxfId="5" priority="1242">
      <formula>LEN(TRIM(C85))&gt;0</formula>
    </cfRule>
  </conditionalFormatting>
  <conditionalFormatting sqref="C86">
    <cfRule type="expression" dxfId="0" priority="1258">
      <formula>COUNTIF(INDIRECT("Checklist!$A621"), "TRUE") = 1</formula>
    </cfRule>
    <cfRule type="expression" dxfId="1" priority="1259">
      <formula>COUNTIF(INDIRECT("Checklist!$A621"), "FALSE") = 1</formula>
    </cfRule>
    <cfRule type="notContainsBlanks" dxfId="5" priority="1260">
      <formula>LEN(TRIM(C86))&gt;0</formula>
    </cfRule>
  </conditionalFormatting>
  <conditionalFormatting sqref="C87">
    <cfRule type="expression" dxfId="0" priority="1276">
      <formula>COUNTIF(INDIRECT("Checklist!$A627"), "TRUE") = 1</formula>
    </cfRule>
    <cfRule type="expression" dxfId="1" priority="1277">
      <formula>COUNTIF(INDIRECT("Checklist!$A627"), "FALSE") = 1</formula>
    </cfRule>
    <cfRule type="notContainsBlanks" dxfId="5" priority="1278">
      <formula>LEN(TRIM(C87))&gt;0</formula>
    </cfRule>
  </conditionalFormatting>
  <conditionalFormatting sqref="C91">
    <cfRule type="expression" dxfId="0" priority="1324">
      <formula>COUNTIF(INDIRECT("Checklist!$A663"), "TRUE") = 1</formula>
    </cfRule>
    <cfRule type="expression" dxfId="1" priority="1325">
      <formula>COUNTIF(INDIRECT("Checklist!$A663"), "FALSE") = 1</formula>
    </cfRule>
    <cfRule type="notContainsBlanks" dxfId="5" priority="1326">
      <formula>LEN(TRIM(C91))&gt;0</formula>
    </cfRule>
  </conditionalFormatting>
  <conditionalFormatting sqref="C92">
    <cfRule type="expression" dxfId="0" priority="1342">
      <formula>COUNTIF(INDIRECT("Checklist!$A669"), "TRUE") = 1</formula>
    </cfRule>
    <cfRule type="expression" dxfId="1" priority="1343">
      <formula>COUNTIF(INDIRECT("Checklist!$A669"), "FALSE") = 1</formula>
    </cfRule>
    <cfRule type="notContainsBlanks" dxfId="5" priority="1344">
      <formula>LEN(TRIM(C92))&gt;0</formula>
    </cfRule>
  </conditionalFormatting>
  <conditionalFormatting sqref="C93">
    <cfRule type="expression" dxfId="0" priority="1360">
      <formula>COUNTIF(INDIRECT("Checklist!$A675"), "TRUE") = 1</formula>
    </cfRule>
    <cfRule type="expression" dxfId="1" priority="1361">
      <formula>COUNTIF(INDIRECT("Checklist!$A675"), "FALSE") = 1</formula>
    </cfRule>
    <cfRule type="notContainsBlanks" dxfId="5" priority="1362">
      <formula>LEN(TRIM(C93))&gt;0</formula>
    </cfRule>
  </conditionalFormatting>
  <conditionalFormatting sqref="C94">
    <cfRule type="expression" dxfId="0" priority="1378">
      <formula>COUNTIF(INDIRECT("Checklist!$A681"), "TRUE") = 1</formula>
    </cfRule>
    <cfRule type="expression" dxfId="1" priority="1379">
      <formula>COUNTIF(INDIRECT("Checklist!$A681"), "FALSE") = 1</formula>
    </cfRule>
    <cfRule type="notContainsBlanks" dxfId="5" priority="1380">
      <formula>LEN(TRIM(C94))&gt;0</formula>
    </cfRule>
  </conditionalFormatting>
  <conditionalFormatting sqref="C95">
    <cfRule type="expression" dxfId="0" priority="1396">
      <formula>COUNTIF(INDIRECT("Checklist!$A687"), "TRUE") = 1</formula>
    </cfRule>
    <cfRule type="expression" dxfId="1" priority="1397">
      <formula>COUNTIF(INDIRECT("Checklist!$A687"), "FALSE") = 1</formula>
    </cfRule>
    <cfRule type="notContainsBlanks" dxfId="5" priority="1398">
      <formula>LEN(TRIM(C95))&gt;0</formula>
    </cfRule>
  </conditionalFormatting>
  <conditionalFormatting sqref="C99">
    <cfRule type="expression" dxfId="0" priority="1444">
      <formula>COUNTIF(INDIRECT("Checklist!$A723"), "TRUE") = 1</formula>
    </cfRule>
    <cfRule type="expression" dxfId="1" priority="1445">
      <formula>COUNTIF(INDIRECT("Checklist!$A723"), "FALSE") = 1</formula>
    </cfRule>
    <cfRule type="notContainsBlanks" dxfId="5" priority="1446">
      <formula>LEN(TRIM(C99))&gt;0</formula>
    </cfRule>
  </conditionalFormatting>
  <conditionalFormatting sqref="D100">
    <cfRule type="expression" dxfId="0" priority="1465">
      <formula>COUNTIF(INDIRECT("Checklist!$A730"), "TRUE") = 1</formula>
    </cfRule>
    <cfRule type="expression" dxfId="1" priority="1466">
      <formula>COUNTIF(INDIRECT("Checklist!$A730"), "FALSE") = 1</formula>
    </cfRule>
    <cfRule type="notContainsBlanks" dxfId="5" priority="1467">
      <formula>LEN(TRIM(D100))&gt;0</formula>
    </cfRule>
  </conditionalFormatting>
  <conditionalFormatting sqref="D101">
    <cfRule type="expression" dxfId="0" priority="1483">
      <formula>COUNTIF(INDIRECT("Checklist!$A736"), "TRUE") = 1</formula>
    </cfRule>
    <cfRule type="expression" dxfId="1" priority="1484">
      <formula>COUNTIF(INDIRECT("Checklist!$A736"), "FALSE") = 1</formula>
    </cfRule>
    <cfRule type="notContainsBlanks" dxfId="5" priority="1485">
      <formula>LEN(TRIM(D101))&gt;0</formula>
    </cfRule>
  </conditionalFormatting>
  <conditionalFormatting sqref="D102">
    <cfRule type="expression" dxfId="0" priority="1501">
      <formula>COUNTIF(INDIRECT("Checklist!$None"), "TRUE") = 1</formula>
    </cfRule>
    <cfRule type="expression" dxfId="1" priority="1502">
      <formula>COUNTIF(INDIRECT("Checklist!$None"), "FALSE") = 1</formula>
    </cfRule>
    <cfRule type="notContainsBlanks" dxfId="5" priority="1503">
      <formula>LEN(TRIM(D102))&gt;0</formula>
    </cfRule>
  </conditionalFormatting>
  <conditionalFormatting sqref="D103">
    <cfRule type="expression" dxfId="0" priority="1519">
      <formula>COUNTIF(INDIRECT("Checklist!$A748"), "TRUE") = 1</formula>
    </cfRule>
    <cfRule type="expression" dxfId="1" priority="1520">
      <formula>COUNTIF(INDIRECT("Checklist!$A748"), "FALSE") = 1</formula>
    </cfRule>
    <cfRule type="notContainsBlanks" dxfId="5" priority="1521">
      <formula>LEN(TRIM(D103))&gt;0</formula>
    </cfRule>
  </conditionalFormatting>
  <conditionalFormatting sqref="D107">
    <cfRule type="expression" dxfId="0" priority="1567">
      <formula>COUNTIF(INDIRECT("Checklist!$None"), "TRUE") = 1</formula>
    </cfRule>
    <cfRule type="expression" dxfId="1" priority="1568">
      <formula>COUNTIF(INDIRECT("Checklist!$None"), "FALSE") = 1</formula>
    </cfRule>
    <cfRule type="notContainsBlanks" dxfId="5" priority="1569">
      <formula>LEN(TRIM(D107))&gt;0</formula>
    </cfRule>
  </conditionalFormatting>
  <conditionalFormatting sqref="D108">
    <cfRule type="expression" dxfId="0" priority="1585">
      <formula>COUNTIF(INDIRECT("Checklist!$A790"), "TRUE") = 1</formula>
    </cfRule>
    <cfRule type="expression" dxfId="1" priority="1586">
      <formula>COUNTIF(INDIRECT("Checklist!$A790"), "FALSE") = 1</formula>
    </cfRule>
    <cfRule type="notContainsBlanks" dxfId="5" priority="1587">
      <formula>LEN(TRIM(D108))&gt;0</formula>
    </cfRule>
  </conditionalFormatting>
  <conditionalFormatting sqref="D109">
    <cfRule type="expression" dxfId="0" priority="1603">
      <formula>COUNTIF(INDIRECT("Checklist!$A796"), "TRUE") = 1</formula>
    </cfRule>
    <cfRule type="expression" dxfId="1" priority="1604">
      <formula>COUNTIF(INDIRECT("Checklist!$A796"), "FALSE") = 1</formula>
    </cfRule>
    <cfRule type="notContainsBlanks" dxfId="5" priority="1605">
      <formula>LEN(TRIM(D109))&gt;0</formula>
    </cfRule>
  </conditionalFormatting>
  <conditionalFormatting sqref="D11">
    <cfRule type="expression" dxfId="0" priority="127">
      <formula>COUNTIF(INDIRECT("Checklist!$A64"), "TRUE") = 1</formula>
    </cfRule>
    <cfRule type="expression" dxfId="1" priority="128">
      <formula>COUNTIF(INDIRECT("Checklist!$A64"), "FALSE") = 1</formula>
    </cfRule>
    <cfRule type="notContainsBlanks" dxfId="5" priority="129">
      <formula>LEN(TRIM(D11))&gt;0</formula>
    </cfRule>
  </conditionalFormatting>
  <conditionalFormatting sqref="D110">
    <cfRule type="expression" dxfId="0" priority="1621">
      <formula>COUNTIF(INDIRECT("Checklist!$A802"), "TRUE") = 1</formula>
    </cfRule>
    <cfRule type="expression" dxfId="1" priority="1622">
      <formula>COUNTIF(INDIRECT("Checklist!$A802"), "FALSE") = 1</formula>
    </cfRule>
    <cfRule type="notContainsBlanks" dxfId="5" priority="1623">
      <formula>LEN(TRIM(D110))&gt;0</formula>
    </cfRule>
  </conditionalFormatting>
  <conditionalFormatting sqref="D111">
    <cfRule type="expression" dxfId="0" priority="1639">
      <formula>COUNTIF(INDIRECT("Checklist!$A808"), "TRUE") = 1</formula>
    </cfRule>
    <cfRule type="expression" dxfId="1" priority="1640">
      <formula>COUNTIF(INDIRECT("Checklist!$A808"), "FALSE") = 1</formula>
    </cfRule>
    <cfRule type="notContainsBlanks" dxfId="5" priority="1641">
      <formula>LEN(TRIM(D111))&gt;0</formula>
    </cfRule>
  </conditionalFormatting>
  <conditionalFormatting sqref="D115">
    <cfRule type="expression" dxfId="0" priority="1687">
      <formula>COUNTIF(INDIRECT("Checklist!$A844"), "TRUE") = 1</formula>
    </cfRule>
    <cfRule type="expression" dxfId="1" priority="1688">
      <formula>COUNTIF(INDIRECT("Checklist!$A844"), "FALSE") = 1</formula>
    </cfRule>
    <cfRule type="notContainsBlanks" dxfId="5" priority="1689">
      <formula>LEN(TRIM(D115))&gt;0</formula>
    </cfRule>
  </conditionalFormatting>
  <conditionalFormatting sqref="D116">
    <cfRule type="expression" dxfId="0" priority="1705">
      <formula>COUNTIF(INDIRECT("Checklist!$None"), "TRUE") = 1</formula>
    </cfRule>
    <cfRule type="expression" dxfId="1" priority="1706">
      <formula>COUNTIF(INDIRECT("Checklist!$None"), "FALSE") = 1</formula>
    </cfRule>
    <cfRule type="notContainsBlanks" dxfId="5" priority="1707">
      <formula>LEN(TRIM(D116))&gt;0</formula>
    </cfRule>
  </conditionalFormatting>
  <conditionalFormatting sqref="D117">
    <cfRule type="expression" dxfId="0" priority="1723">
      <formula>COUNTIF(INDIRECT("Checklist!$A856"), "TRUE") = 1</formula>
    </cfRule>
    <cfRule type="expression" dxfId="1" priority="1724">
      <formula>COUNTIF(INDIRECT("Checklist!$A856"), "FALSE") = 1</formula>
    </cfRule>
    <cfRule type="notContainsBlanks" dxfId="5" priority="1725">
      <formula>LEN(TRIM(D117))&gt;0</formula>
    </cfRule>
  </conditionalFormatting>
  <conditionalFormatting sqref="D118">
    <cfRule type="expression" dxfId="0" priority="1741">
      <formula>COUNTIF(INDIRECT("Checklist!$A862"), "TRUE") = 1</formula>
    </cfRule>
    <cfRule type="expression" dxfId="1" priority="1742">
      <formula>COUNTIF(INDIRECT("Checklist!$A862"), "FALSE") = 1</formula>
    </cfRule>
    <cfRule type="notContainsBlanks" dxfId="5" priority="1743">
      <formula>LEN(TRIM(D118))&gt;0</formula>
    </cfRule>
  </conditionalFormatting>
  <conditionalFormatting sqref="D119">
    <cfRule type="expression" dxfId="0" priority="1759">
      <formula>COUNTIF(INDIRECT("Checklist!$A868"), "TRUE") = 1</formula>
    </cfRule>
    <cfRule type="expression" dxfId="1" priority="1760">
      <formula>COUNTIF(INDIRECT("Checklist!$A868"), "FALSE") = 1</formula>
    </cfRule>
    <cfRule type="notContainsBlanks" dxfId="5" priority="1761">
      <formula>LEN(TRIM(D119))&gt;0</formula>
    </cfRule>
  </conditionalFormatting>
  <conditionalFormatting sqref="D12">
    <cfRule type="expression" dxfId="0" priority="145">
      <formula>COUNTIF(INDIRECT("Checklist!$A70"), "TRUE") = 1</formula>
    </cfRule>
    <cfRule type="expression" dxfId="1" priority="146">
      <formula>COUNTIF(INDIRECT("Checklist!$A70"), "FALSE") = 1</formula>
    </cfRule>
    <cfRule type="notContainsBlanks" dxfId="5" priority="147">
      <formula>LEN(TRIM(D12))&gt;0</formula>
    </cfRule>
  </conditionalFormatting>
  <conditionalFormatting sqref="D123">
    <cfRule type="expression" dxfId="0" priority="1807">
      <formula>COUNTIF(INDIRECT("Checklist!$A904"), "TRUE") = 1</formula>
    </cfRule>
    <cfRule type="expression" dxfId="1" priority="1808">
      <formula>COUNTIF(INDIRECT("Checklist!$A904"), "FALSE") = 1</formula>
    </cfRule>
    <cfRule type="notContainsBlanks" dxfId="5" priority="1809">
      <formula>LEN(TRIM(D123))&gt;0</formula>
    </cfRule>
  </conditionalFormatting>
  <conditionalFormatting sqref="D13">
    <cfRule type="expression" dxfId="0" priority="163">
      <formula>COUNTIF(INDIRECT("Checklist!$A76"), "TRUE") = 1</formula>
    </cfRule>
    <cfRule type="expression" dxfId="1" priority="164">
      <formula>COUNTIF(INDIRECT("Checklist!$A76"), "FALSE") = 1</formula>
    </cfRule>
    <cfRule type="notContainsBlanks" dxfId="5" priority="165">
      <formula>LEN(TRIM(D13))&gt;0</formula>
    </cfRule>
  </conditionalFormatting>
  <conditionalFormatting sqref="D131">
    <cfRule type="expression" dxfId="0" priority="1852">
      <formula>COUNTIF(INDIRECT("Checklist!$None"), "TRUE") = 1</formula>
    </cfRule>
    <cfRule type="expression" dxfId="1" priority="1853">
      <formula>COUNTIF(INDIRECT("Checklist!$None"), "FALSE") = 1</formula>
    </cfRule>
    <cfRule type="notContainsBlanks" dxfId="5" priority="1854">
      <formula>LEN(TRIM(D131))&gt;0</formula>
    </cfRule>
  </conditionalFormatting>
  <conditionalFormatting sqref="D132">
    <cfRule type="expression" dxfId="0" priority="1870">
      <formula>COUNTIF(INDIRECT("Checklist!$None"), "TRUE") = 1</formula>
    </cfRule>
    <cfRule type="expression" dxfId="1" priority="1871">
      <formula>COUNTIF(INDIRECT("Checklist!$None"), "FALSE") = 1</formula>
    </cfRule>
    <cfRule type="notContainsBlanks" dxfId="5" priority="1872">
      <formula>LEN(TRIM(D132))&gt;0</formula>
    </cfRule>
  </conditionalFormatting>
  <conditionalFormatting sqref="D133">
    <cfRule type="expression" dxfId="0" priority="1888">
      <formula>COUNTIF(INDIRECT("Checklist!$None"), "TRUE") = 1</formula>
    </cfRule>
    <cfRule type="expression" dxfId="1" priority="1889">
      <formula>COUNTIF(INDIRECT("Checklist!$None"), "FALSE") = 1</formula>
    </cfRule>
    <cfRule type="notContainsBlanks" dxfId="5" priority="1890">
      <formula>LEN(TRIM(D133))&gt;0</formula>
    </cfRule>
  </conditionalFormatting>
  <conditionalFormatting sqref="D134">
    <cfRule type="expression" dxfId="0" priority="1906">
      <formula>COUNTIF(INDIRECT("Checklist!$None"), "TRUE") = 1</formula>
    </cfRule>
    <cfRule type="expression" dxfId="1" priority="1907">
      <formula>COUNTIF(INDIRECT("Checklist!$None"), "FALSE") = 1</formula>
    </cfRule>
    <cfRule type="notContainsBlanks" dxfId="5" priority="1908">
      <formula>LEN(TRIM(D134))&gt;0</formula>
    </cfRule>
  </conditionalFormatting>
  <conditionalFormatting sqref="D135">
    <cfRule type="expression" dxfId="0" priority="1924">
      <formula>COUNTIF(INDIRECT("Checklist!$None"), "TRUE") = 1</formula>
    </cfRule>
    <cfRule type="expression" dxfId="1" priority="1925">
      <formula>COUNTIF(INDIRECT("Checklist!$None"), "FALSE") = 1</formula>
    </cfRule>
    <cfRule type="notContainsBlanks" dxfId="5" priority="1926">
      <formula>LEN(TRIM(D135))&gt;0</formula>
    </cfRule>
  </conditionalFormatting>
  <conditionalFormatting sqref="D139">
    <cfRule type="expression" dxfId="0" priority="1972">
      <formula>COUNTIF(INDIRECT("Checklist!$None"), "TRUE") = 1</formula>
    </cfRule>
    <cfRule type="expression" dxfId="1" priority="1973">
      <formula>COUNTIF(INDIRECT("Checklist!$None"), "FALSE") = 1</formula>
    </cfRule>
    <cfRule type="notContainsBlanks" dxfId="5" priority="1974">
      <formula>LEN(TRIM(D139))&gt;0</formula>
    </cfRule>
  </conditionalFormatting>
  <conditionalFormatting sqref="D14">
    <cfRule type="expression" dxfId="0" priority="181">
      <formula>COUNTIF(INDIRECT("Checklist!$A82"), "TRUE") = 1</formula>
    </cfRule>
    <cfRule type="expression" dxfId="1" priority="182">
      <formula>COUNTIF(INDIRECT("Checklist!$A82"), "FALSE") = 1</formula>
    </cfRule>
    <cfRule type="notContainsBlanks" dxfId="5" priority="183">
      <formula>LEN(TRIM(D14))&gt;0</formula>
    </cfRule>
  </conditionalFormatting>
  <conditionalFormatting sqref="D140">
    <cfRule type="expression" dxfId="0" priority="1990">
      <formula>COUNTIF(INDIRECT("Checklist!$None"), "TRUE") = 1</formula>
    </cfRule>
    <cfRule type="expression" dxfId="1" priority="1991">
      <formula>COUNTIF(INDIRECT("Checklist!$None"), "FALSE") = 1</formula>
    </cfRule>
    <cfRule type="notContainsBlanks" dxfId="5" priority="1992">
      <formula>LEN(TRIM(D140))&gt;0</formula>
    </cfRule>
  </conditionalFormatting>
  <conditionalFormatting sqref="D147">
    <cfRule type="expression" dxfId="0" priority="2017">
      <formula>COUNTIF(INDIRECT("Checklist!$None"), "TRUE") = 1</formula>
    </cfRule>
    <cfRule type="expression" dxfId="1" priority="2018">
      <formula>COUNTIF(INDIRECT("Checklist!$None"), "FALSE") = 1</formula>
    </cfRule>
    <cfRule type="notContainsBlanks" dxfId="5" priority="2019">
      <formula>LEN(TRIM(D147))&gt;0</formula>
    </cfRule>
  </conditionalFormatting>
  <conditionalFormatting sqref="D148">
    <cfRule type="expression" dxfId="0" priority="2035">
      <formula>COUNTIF(INDIRECT("Checklist!$None"), "TRUE") = 1</formula>
    </cfRule>
    <cfRule type="expression" dxfId="1" priority="2036">
      <formula>COUNTIF(INDIRECT("Checklist!$None"), "FALSE") = 1</formula>
    </cfRule>
    <cfRule type="notContainsBlanks" dxfId="5" priority="2037">
      <formula>LEN(TRIM(D148))&gt;0</formula>
    </cfRule>
  </conditionalFormatting>
  <conditionalFormatting sqref="D149">
    <cfRule type="expression" dxfId="0" priority="2053">
      <formula>COUNTIF(INDIRECT("Checklist!$None"), "TRUE") = 1</formula>
    </cfRule>
    <cfRule type="expression" dxfId="1" priority="2054">
      <formula>COUNTIF(INDIRECT("Checklist!$None"), "FALSE") = 1</formula>
    </cfRule>
    <cfRule type="notContainsBlanks" dxfId="5" priority="2055">
      <formula>LEN(TRIM(D149))&gt;0</formula>
    </cfRule>
  </conditionalFormatting>
  <conditionalFormatting sqref="D15">
    <cfRule type="expression" dxfId="0" priority="199">
      <formula>COUNTIF(INDIRECT("Checklist!$A88"), "TRUE") = 1</formula>
    </cfRule>
    <cfRule type="expression" dxfId="1" priority="200">
      <formula>COUNTIF(INDIRECT("Checklist!$A88"), "FALSE") = 1</formula>
    </cfRule>
    <cfRule type="notContainsBlanks" dxfId="5" priority="201">
      <formula>LEN(TRIM(D15))&gt;0</formula>
    </cfRule>
  </conditionalFormatting>
  <conditionalFormatting sqref="D150">
    <cfRule type="expression" dxfId="0" priority="2071">
      <formula>COUNTIF(INDIRECT("Checklist!$None"), "TRUE") = 1</formula>
    </cfRule>
    <cfRule type="expression" dxfId="1" priority="2072">
      <formula>COUNTIF(INDIRECT("Checklist!$None"), "FALSE") = 1</formula>
    </cfRule>
    <cfRule type="notContainsBlanks" dxfId="5" priority="2073">
      <formula>LEN(TRIM(D150))&gt;0</formula>
    </cfRule>
  </conditionalFormatting>
  <conditionalFormatting sqref="D151">
    <cfRule type="expression" dxfId="0" priority="2089">
      <formula>COUNTIF(INDIRECT("Checklist!$None"), "TRUE") = 1</formula>
    </cfRule>
    <cfRule type="expression" dxfId="1" priority="2090">
      <formula>COUNTIF(INDIRECT("Checklist!$None"), "FALSE") = 1</formula>
    </cfRule>
    <cfRule type="notContainsBlanks" dxfId="5" priority="2091">
      <formula>LEN(TRIM(D151))&gt;0</formula>
    </cfRule>
  </conditionalFormatting>
  <conditionalFormatting sqref="D155">
    <cfRule type="expression" dxfId="0" priority="2127">
      <formula>COUNTIF(INDIRECT("Checklist!$None"), "TRUE") = 1</formula>
    </cfRule>
    <cfRule type="expression" dxfId="1" priority="2128">
      <formula>COUNTIF(INDIRECT("Checklist!$None"), "FALSE") = 1</formula>
    </cfRule>
    <cfRule type="notContainsBlanks" dxfId="5" priority="2129">
      <formula>LEN(TRIM(D155))&gt;0</formula>
    </cfRule>
  </conditionalFormatting>
  <conditionalFormatting sqref="D156">
    <cfRule type="expression" dxfId="0" priority="2145">
      <formula>COUNTIF(INDIRECT("Checklist!$None"), "TRUE") = 1</formula>
    </cfRule>
    <cfRule type="expression" dxfId="1" priority="2146">
      <formula>COUNTIF(INDIRECT("Checklist!$None"), "FALSE") = 1</formula>
    </cfRule>
    <cfRule type="notContainsBlanks" dxfId="5" priority="2147">
      <formula>LEN(TRIM(D156))&gt;0</formula>
    </cfRule>
  </conditionalFormatting>
  <conditionalFormatting sqref="D157">
    <cfRule type="expression" dxfId="0" priority="2163">
      <formula>COUNTIF(INDIRECT("Checklist!$None"), "TRUE") = 1</formula>
    </cfRule>
    <cfRule type="expression" dxfId="1" priority="2164">
      <formula>COUNTIF(INDIRECT("Checklist!$None"), "FALSE") = 1</formula>
    </cfRule>
    <cfRule type="notContainsBlanks" dxfId="5" priority="2165">
      <formula>LEN(TRIM(D157))&gt;0</formula>
    </cfRule>
  </conditionalFormatting>
  <conditionalFormatting sqref="D158">
    <cfRule type="expression" dxfId="0" priority="2181">
      <formula>COUNTIF(INDIRECT("Checklist!$None"), "TRUE") = 1</formula>
    </cfRule>
    <cfRule type="expression" dxfId="1" priority="2182">
      <formula>COUNTIF(INDIRECT("Checklist!$None"), "FALSE") = 1</formula>
    </cfRule>
    <cfRule type="notContainsBlanks" dxfId="5" priority="2183">
      <formula>LEN(TRIM(D158))&gt;0</formula>
    </cfRule>
  </conditionalFormatting>
  <conditionalFormatting sqref="D163">
    <cfRule type="expression" dxfId="0" priority="2228">
      <formula>COUNTIF(INDIRECT("Checklist!$None"), "TRUE") = 1</formula>
    </cfRule>
    <cfRule type="expression" dxfId="1" priority="2229">
      <formula>COUNTIF(INDIRECT("Checklist!$None"), "FALSE") = 1</formula>
    </cfRule>
    <cfRule type="notContainsBlanks" dxfId="5" priority="2230">
      <formula>LEN(TRIM(D163))&gt;0</formula>
    </cfRule>
  </conditionalFormatting>
  <conditionalFormatting sqref="D164">
    <cfRule type="expression" dxfId="0" priority="2246">
      <formula>COUNTIF(INDIRECT("Checklist!$None"), "TRUE") = 1</formula>
    </cfRule>
    <cfRule type="expression" dxfId="1" priority="2247">
      <formula>COUNTIF(INDIRECT("Checklist!$None"), "FALSE") = 1</formula>
    </cfRule>
    <cfRule type="notContainsBlanks" dxfId="5" priority="2248">
      <formula>LEN(TRIM(D164))&gt;0</formula>
    </cfRule>
  </conditionalFormatting>
  <conditionalFormatting sqref="D165">
    <cfRule type="expression" dxfId="0" priority="2264">
      <formula>COUNTIF(INDIRECT("Checklist!$None"), "TRUE") = 1</formula>
    </cfRule>
    <cfRule type="expression" dxfId="1" priority="2265">
      <formula>COUNTIF(INDIRECT("Checklist!$None"), "FALSE") = 1</formula>
    </cfRule>
    <cfRule type="notContainsBlanks" dxfId="5" priority="2266">
      <formula>LEN(TRIM(D165))&gt;0</formula>
    </cfRule>
  </conditionalFormatting>
  <conditionalFormatting sqref="D166">
    <cfRule type="expression" dxfId="0" priority="2282">
      <formula>COUNTIF(INDIRECT("Checklist!$None"), "TRUE") = 1</formula>
    </cfRule>
    <cfRule type="expression" dxfId="1" priority="2283">
      <formula>COUNTIF(INDIRECT("Checklist!$None"), "FALSE") = 1</formula>
    </cfRule>
    <cfRule type="notContainsBlanks" dxfId="5" priority="2284">
      <formula>LEN(TRIM(D166))&gt;0</formula>
    </cfRule>
  </conditionalFormatting>
  <conditionalFormatting sqref="D167">
    <cfRule type="expression" dxfId="0" priority="2300">
      <formula>COUNTIF(INDIRECT("Checklist!$None"), "TRUE") = 1</formula>
    </cfRule>
    <cfRule type="expression" dxfId="1" priority="2301">
      <formula>COUNTIF(INDIRECT("Checklist!$None"), "FALSE") = 1</formula>
    </cfRule>
    <cfRule type="notContainsBlanks" dxfId="5" priority="2302">
      <formula>LEN(TRIM(D167))&gt;0</formula>
    </cfRule>
  </conditionalFormatting>
  <conditionalFormatting sqref="D171">
    <cfRule type="expression" dxfId="0" priority="2338">
      <formula>COUNTIF(INDIRECT("Checklist!$A1135"), "TRUE") = 1</formula>
    </cfRule>
    <cfRule type="expression" dxfId="1" priority="2339">
      <formula>COUNTIF(INDIRECT("Checklist!$A1135"), "FALSE") = 1</formula>
    </cfRule>
    <cfRule type="notContainsBlanks" dxfId="5" priority="2340">
      <formula>LEN(TRIM(D171))&gt;0</formula>
    </cfRule>
  </conditionalFormatting>
  <conditionalFormatting sqref="D172">
    <cfRule type="expression" dxfId="0" priority="2356">
      <formula>COUNTIF(INDIRECT("Checklist!$None"), "TRUE") = 1</formula>
    </cfRule>
    <cfRule type="expression" dxfId="1" priority="2357">
      <formula>COUNTIF(INDIRECT("Checklist!$None"), "FALSE") = 1</formula>
    </cfRule>
    <cfRule type="notContainsBlanks" dxfId="5" priority="2358">
      <formula>LEN(TRIM(D172))&gt;0</formula>
    </cfRule>
  </conditionalFormatting>
  <conditionalFormatting sqref="D173">
    <cfRule type="expression" dxfId="0" priority="2374">
      <formula>COUNTIF(INDIRECT("Checklist!$A1149"), "TRUE") = 1</formula>
    </cfRule>
    <cfRule type="expression" dxfId="1" priority="2375">
      <formula>COUNTIF(INDIRECT("Checklist!$A1149"), "FALSE") = 1</formula>
    </cfRule>
    <cfRule type="notContainsBlanks" dxfId="5" priority="2376">
      <formula>LEN(TRIM(D173))&gt;0</formula>
    </cfRule>
  </conditionalFormatting>
  <conditionalFormatting sqref="D174">
    <cfRule type="expression" dxfId="0" priority="2392">
      <formula>COUNTIF(INDIRECT("Checklist!$A1158"), "TRUE") = 1</formula>
    </cfRule>
    <cfRule type="expression" dxfId="1" priority="2393">
      <formula>COUNTIF(INDIRECT("Checklist!$A1158"), "FALSE") = 1</formula>
    </cfRule>
    <cfRule type="notContainsBlanks" dxfId="5" priority="2394">
      <formula>LEN(TRIM(D174))&gt;0</formula>
    </cfRule>
  </conditionalFormatting>
  <conditionalFormatting sqref="D179">
    <cfRule type="expression" dxfId="0" priority="2428">
      <formula>COUNTIF(INDIRECT("Checklist!$None"), "TRUE") = 1</formula>
    </cfRule>
    <cfRule type="expression" dxfId="1" priority="2429">
      <formula>COUNTIF(INDIRECT("Checklist!$None"), "FALSE") = 1</formula>
    </cfRule>
    <cfRule type="notContainsBlanks" dxfId="5" priority="2430">
      <formula>LEN(TRIM(D179))&gt;0</formula>
    </cfRule>
  </conditionalFormatting>
  <conditionalFormatting sqref="D180">
    <cfRule type="expression" dxfId="0" priority="2446">
      <formula>COUNTIF(INDIRECT("Checklist!$None"), "TRUE") = 1</formula>
    </cfRule>
    <cfRule type="expression" dxfId="1" priority="2447">
      <formula>COUNTIF(INDIRECT("Checklist!$None"), "FALSE") = 1</formula>
    </cfRule>
    <cfRule type="notContainsBlanks" dxfId="5" priority="2448">
      <formula>LEN(TRIM(D180))&gt;0</formula>
    </cfRule>
  </conditionalFormatting>
  <conditionalFormatting sqref="D181">
    <cfRule type="expression" dxfId="0" priority="2464">
      <formula>COUNTIF(INDIRECT("Checklist!$None"), "TRUE") = 1</formula>
    </cfRule>
    <cfRule type="expression" dxfId="1" priority="2465">
      <formula>COUNTIF(INDIRECT("Checklist!$None"), "FALSE") = 1</formula>
    </cfRule>
    <cfRule type="notContainsBlanks" dxfId="5" priority="2466">
      <formula>LEN(TRIM(D181))&gt;0</formula>
    </cfRule>
  </conditionalFormatting>
  <conditionalFormatting sqref="D182">
    <cfRule type="expression" dxfId="0" priority="2482">
      <formula>COUNTIF(INDIRECT("Checklist!$None"), "TRUE") = 1</formula>
    </cfRule>
    <cfRule type="expression" dxfId="1" priority="2483">
      <formula>COUNTIF(INDIRECT("Checklist!$None"), "FALSE") = 1</formula>
    </cfRule>
    <cfRule type="notContainsBlanks" dxfId="5" priority="2484">
      <formula>LEN(TRIM(D182))&gt;0</formula>
    </cfRule>
  </conditionalFormatting>
  <conditionalFormatting sqref="D183">
    <cfRule type="expression" dxfId="0" priority="2500">
      <formula>COUNTIF(INDIRECT("Checklist!$None"), "TRUE") = 1</formula>
    </cfRule>
    <cfRule type="expression" dxfId="1" priority="2501">
      <formula>COUNTIF(INDIRECT("Checklist!$None"), "FALSE") = 1</formula>
    </cfRule>
    <cfRule type="notContainsBlanks" dxfId="5" priority="2502">
      <formula>LEN(TRIM(D183))&gt;0</formula>
    </cfRule>
  </conditionalFormatting>
  <conditionalFormatting sqref="D187">
    <cfRule type="expression" dxfId="0" priority="2540">
      <formula>COUNTIF(INDIRECT("Checklist!$None"), "TRUE") = 1</formula>
    </cfRule>
    <cfRule type="expression" dxfId="1" priority="2541">
      <formula>COUNTIF(INDIRECT("Checklist!$None"), "FALSE") = 1</formula>
    </cfRule>
    <cfRule type="notContainsBlanks" dxfId="5" priority="2542">
      <formula>LEN(TRIM(D187))&gt;0</formula>
    </cfRule>
  </conditionalFormatting>
  <conditionalFormatting sqref="D19">
    <cfRule type="expression" dxfId="0" priority="247">
      <formula>COUNTIF(INDIRECT("Checklist!$A124"), "TRUE") = 1</formula>
    </cfRule>
    <cfRule type="expression" dxfId="1" priority="248">
      <formula>COUNTIF(INDIRECT("Checklist!$A124"), "FALSE") = 1</formula>
    </cfRule>
    <cfRule type="notContainsBlanks" dxfId="5" priority="249">
      <formula>LEN(TRIM(D19))&gt;0</formula>
    </cfRule>
  </conditionalFormatting>
  <conditionalFormatting sqref="D195">
    <cfRule type="expression" dxfId="0" priority="2591">
      <formula>COUNTIF(INDIRECT("Checklist!$A862"), "TRUE") = 1</formula>
    </cfRule>
    <cfRule type="expression" dxfId="1" priority="2592">
      <formula>COUNTIF(INDIRECT("Checklist!$A862"), "FALSE") = 1</formula>
    </cfRule>
    <cfRule type="notContainsBlanks" dxfId="5" priority="2593">
      <formula>LEN(TRIM(D195))&gt;0</formula>
    </cfRule>
  </conditionalFormatting>
  <conditionalFormatting sqref="D20">
    <cfRule type="expression" dxfId="0" priority="265">
      <formula>COUNTIF(INDIRECT("Checklist!$A130"), "TRUE") = 1</formula>
    </cfRule>
    <cfRule type="expression" dxfId="1" priority="266">
      <formula>COUNTIF(INDIRECT("Checklist!$A130"), "FALSE") = 1</formula>
    </cfRule>
    <cfRule type="notContainsBlanks" dxfId="5" priority="267">
      <formula>LEN(TRIM(D20))&gt;0</formula>
    </cfRule>
  </conditionalFormatting>
  <conditionalFormatting sqref="D203">
    <cfRule type="expression" dxfId="0" priority="2615">
      <formula>COUNTIF(INDIRECT("Checklist!$A1111"), "TRUE") = 1</formula>
    </cfRule>
    <cfRule type="expression" dxfId="1" priority="2616">
      <formula>COUNTIF(INDIRECT("Checklist!$A1111"), "FALSE") = 1</formula>
    </cfRule>
    <cfRule type="notContainsBlanks" dxfId="5" priority="2617">
      <formula>LEN(TRIM(D203))&gt;0</formula>
    </cfRule>
  </conditionalFormatting>
  <conditionalFormatting sqref="D204">
    <cfRule type="expression" dxfId="0" priority="2633">
      <formula>COUNTIF(INDIRECT("Checklist!$A1117"), "TRUE") = 1</formula>
    </cfRule>
    <cfRule type="expression" dxfId="1" priority="2634">
      <formula>COUNTIF(INDIRECT("Checklist!$A1117"), "FALSE") = 1</formula>
    </cfRule>
    <cfRule type="notContainsBlanks" dxfId="5" priority="2635">
      <formula>LEN(TRIM(D204))&gt;0</formula>
    </cfRule>
  </conditionalFormatting>
  <conditionalFormatting sqref="D205">
    <cfRule type="expression" dxfId="0" priority="2651">
      <formula>COUNTIF(INDIRECT("Checklist!$A1123"), "TRUE") = 1</formula>
    </cfRule>
    <cfRule type="expression" dxfId="1" priority="2652">
      <formula>COUNTIF(INDIRECT("Checklist!$A1123"), "FALSE") = 1</formula>
    </cfRule>
    <cfRule type="notContainsBlanks" dxfId="5" priority="2653">
      <formula>LEN(TRIM(D205))&gt;0</formula>
    </cfRule>
  </conditionalFormatting>
  <conditionalFormatting sqref="D21">
    <cfRule type="expression" dxfId="0" priority="283">
      <formula>COUNTIF(INDIRECT("Checklist!$A136"), "TRUE") = 1</formula>
    </cfRule>
    <cfRule type="expression" dxfId="1" priority="284">
      <formula>COUNTIF(INDIRECT("Checklist!$A136"), "FALSE") = 1</formula>
    </cfRule>
    <cfRule type="notContainsBlanks" dxfId="5" priority="285">
      <formula>LEN(TRIM(D21))&gt;0</formula>
    </cfRule>
  </conditionalFormatting>
  <conditionalFormatting sqref="D211">
    <cfRule type="expression" dxfId="0" priority="2688">
      <formula>COUNTIF(INDIRECT("Checklist!$A1242"), "TRUE") = 1</formula>
    </cfRule>
    <cfRule type="expression" dxfId="1" priority="2689">
      <formula>COUNTIF(INDIRECT("Checklist!$A1242"), "FALSE") = 1</formula>
    </cfRule>
    <cfRule type="notContainsBlanks" dxfId="5" priority="2690">
      <formula>LEN(TRIM(D211))&gt;0</formula>
    </cfRule>
  </conditionalFormatting>
  <conditionalFormatting sqref="D212">
    <cfRule type="expression" dxfId="0" priority="2706">
      <formula>COUNTIF(INDIRECT("Checklist!$A1248"), "TRUE") = 1</formula>
    </cfRule>
    <cfRule type="expression" dxfId="1" priority="2707">
      <formula>COUNTIF(INDIRECT("Checklist!$A1248"), "FALSE") = 1</formula>
    </cfRule>
    <cfRule type="notContainsBlanks" dxfId="5" priority="2708">
      <formula>LEN(TRIM(D212))&gt;0</formula>
    </cfRule>
  </conditionalFormatting>
  <conditionalFormatting sqref="D213">
    <cfRule type="expression" dxfId="0" priority="2724">
      <formula>COUNTIF(INDIRECT("Checklist!$A1253"), "TRUE") = 1</formula>
    </cfRule>
    <cfRule type="expression" dxfId="1" priority="2725">
      <formula>COUNTIF(INDIRECT("Checklist!$A1253"), "FALSE") = 1</formula>
    </cfRule>
    <cfRule type="notContainsBlanks" dxfId="5" priority="2726">
      <formula>LEN(TRIM(D213))&gt;0</formula>
    </cfRule>
  </conditionalFormatting>
  <conditionalFormatting sqref="D22">
    <cfRule type="expression" dxfId="0" priority="301">
      <formula>COUNTIF(INDIRECT("Checklist!$A142"), "TRUE") = 1</formula>
    </cfRule>
    <cfRule type="expression" dxfId="1" priority="302">
      <formula>COUNTIF(INDIRECT("Checklist!$A142"), "FALSE") = 1</formula>
    </cfRule>
    <cfRule type="notContainsBlanks" dxfId="5" priority="303">
      <formula>LEN(TRIM(D22))&gt;0</formula>
    </cfRule>
  </conditionalFormatting>
  <conditionalFormatting sqref="D23">
    <cfRule type="expression" dxfId="0" priority="319">
      <formula>COUNTIF(INDIRECT("Checklist!$A148"), "TRUE") = 1</formula>
    </cfRule>
    <cfRule type="expression" dxfId="1" priority="320">
      <formula>COUNTIF(INDIRECT("Checklist!$A148"), "FALSE") = 1</formula>
    </cfRule>
    <cfRule type="notContainsBlanks" dxfId="5" priority="321">
      <formula>LEN(TRIM(D23))&gt;0</formula>
    </cfRule>
  </conditionalFormatting>
  <conditionalFormatting sqref="D27">
    <cfRule type="expression" dxfId="0" priority="367">
      <formula>COUNTIF(INDIRECT("Checklist!$A184"), "TRUE") = 1</formula>
    </cfRule>
    <cfRule type="expression" dxfId="1" priority="368">
      <formula>COUNTIF(INDIRECT("Checklist!$A184"), "FALSE") = 1</formula>
    </cfRule>
    <cfRule type="notContainsBlanks" dxfId="5" priority="369">
      <formula>LEN(TRIM(D27))&gt;0</formula>
    </cfRule>
  </conditionalFormatting>
  <conditionalFormatting sqref="D28">
    <cfRule type="expression" dxfId="0" priority="385">
      <formula>COUNTIF(INDIRECT("Checklist!$A190"), "TRUE") = 1</formula>
    </cfRule>
    <cfRule type="expression" dxfId="1" priority="386">
      <formula>COUNTIF(INDIRECT("Checklist!$A190"), "FALSE") = 1</formula>
    </cfRule>
    <cfRule type="notContainsBlanks" dxfId="5" priority="387">
      <formula>LEN(TRIM(D28))&gt;0</formula>
    </cfRule>
  </conditionalFormatting>
  <conditionalFormatting sqref="D29">
    <cfRule type="expression" dxfId="0" priority="403">
      <formula>COUNTIF(INDIRECT("Checklist!$A196"), "TRUE") = 1</formula>
    </cfRule>
    <cfRule type="expression" dxfId="1" priority="404">
      <formula>COUNTIF(INDIRECT("Checklist!$A196"), "FALSE") = 1</formula>
    </cfRule>
    <cfRule type="notContainsBlanks" dxfId="5" priority="405">
      <formula>LEN(TRIM(D29))&gt;0</formula>
    </cfRule>
  </conditionalFormatting>
  <conditionalFormatting sqref="D3">
    <cfRule type="expression" dxfId="0" priority="7">
      <formula>COUNTIF(INDIRECT("Checklist!$A4"), "TRUE") = 1</formula>
    </cfRule>
    <cfRule type="expression" dxfId="1" priority="8">
      <formula>COUNTIF(INDIRECT("Checklist!$A4"), "FALSE") = 1</formula>
    </cfRule>
    <cfRule type="notContainsBlanks" dxfId="5" priority="9">
      <formula>LEN(TRIM(D3))&gt;0</formula>
    </cfRule>
  </conditionalFormatting>
  <conditionalFormatting sqref="D30">
    <cfRule type="expression" dxfId="0" priority="421">
      <formula>COUNTIF(INDIRECT("Checklist!$A202"), "TRUE") = 1</formula>
    </cfRule>
    <cfRule type="expression" dxfId="1" priority="422">
      <formula>COUNTIF(INDIRECT("Checklist!$A202"), "FALSE") = 1</formula>
    </cfRule>
    <cfRule type="notContainsBlanks" dxfId="5" priority="423">
      <formula>LEN(TRIM(D30))&gt;0</formula>
    </cfRule>
  </conditionalFormatting>
  <conditionalFormatting sqref="D31">
    <cfRule type="expression" dxfId="0" priority="439">
      <formula>COUNTIF(INDIRECT("Checklist!$A208"), "TRUE") = 1</formula>
    </cfRule>
    <cfRule type="expression" dxfId="1" priority="440">
      <formula>COUNTIF(INDIRECT("Checklist!$A208"), "FALSE") = 1</formula>
    </cfRule>
    <cfRule type="notContainsBlanks" dxfId="5" priority="441">
      <formula>LEN(TRIM(D31))&gt;0</formula>
    </cfRule>
  </conditionalFormatting>
  <conditionalFormatting sqref="D35">
    <cfRule type="expression" dxfId="0" priority="487">
      <formula>COUNTIF(INDIRECT("Checklist!$A244"), "TRUE") = 1</formula>
    </cfRule>
    <cfRule type="expression" dxfId="1" priority="488">
      <formula>COUNTIF(INDIRECT("Checklist!$A244"), "FALSE") = 1</formula>
    </cfRule>
    <cfRule type="notContainsBlanks" dxfId="5" priority="489">
      <formula>LEN(TRIM(D35))&gt;0</formula>
    </cfRule>
  </conditionalFormatting>
  <conditionalFormatting sqref="D36">
    <cfRule type="expression" dxfId="0" priority="505">
      <formula>COUNTIF(INDIRECT("Checklist!$A250"), "TRUE") = 1</formula>
    </cfRule>
    <cfRule type="expression" dxfId="1" priority="506">
      <formula>COUNTIF(INDIRECT("Checklist!$A250"), "FALSE") = 1</formula>
    </cfRule>
    <cfRule type="notContainsBlanks" dxfId="5" priority="507">
      <formula>LEN(TRIM(D36))&gt;0</formula>
    </cfRule>
  </conditionalFormatting>
  <conditionalFormatting sqref="D37">
    <cfRule type="expression" dxfId="0" priority="523">
      <formula>COUNTIF(INDIRECT("Checklist!$A256"), "TRUE") = 1</formula>
    </cfRule>
    <cfRule type="expression" dxfId="1" priority="524">
      <formula>COUNTIF(INDIRECT("Checklist!$A256"), "FALSE") = 1</formula>
    </cfRule>
    <cfRule type="notContainsBlanks" dxfId="5" priority="525">
      <formula>LEN(TRIM(D37))&gt;0</formula>
    </cfRule>
  </conditionalFormatting>
  <conditionalFormatting sqref="D38">
    <cfRule type="expression" dxfId="0" priority="541">
      <formula>COUNTIF(INDIRECT("Checklist!$A262"), "TRUE") = 1</formula>
    </cfRule>
    <cfRule type="expression" dxfId="1" priority="542">
      <formula>COUNTIF(INDIRECT("Checklist!$A262"), "FALSE") = 1</formula>
    </cfRule>
    <cfRule type="notContainsBlanks" dxfId="5" priority="543">
      <formula>LEN(TRIM(D38))&gt;0</formula>
    </cfRule>
  </conditionalFormatting>
  <conditionalFormatting sqref="D39">
    <cfRule type="expression" dxfId="0" priority="559">
      <formula>COUNTIF(INDIRECT("Checklist!$A268"), "TRUE") = 1</formula>
    </cfRule>
    <cfRule type="expression" dxfId="1" priority="560">
      <formula>COUNTIF(INDIRECT("Checklist!$A268"), "FALSE") = 1</formula>
    </cfRule>
    <cfRule type="notContainsBlanks" dxfId="5" priority="561">
      <formula>LEN(TRIM(D39))&gt;0</formula>
    </cfRule>
  </conditionalFormatting>
  <conditionalFormatting sqref="D4">
    <cfRule type="expression" dxfId="0" priority="25">
      <formula>COUNTIF(INDIRECT("Checklist!$A10"), "TRUE") = 1</formula>
    </cfRule>
    <cfRule type="expression" dxfId="1" priority="26">
      <formula>COUNTIF(INDIRECT("Checklist!$A10"), "FALSE") = 1</formula>
    </cfRule>
    <cfRule type="notContainsBlanks" dxfId="5" priority="27">
      <formula>LEN(TRIM(D4))&gt;0</formula>
    </cfRule>
  </conditionalFormatting>
  <conditionalFormatting sqref="D43">
    <cfRule type="expression" dxfId="0" priority="607">
      <formula>COUNTIF(INDIRECT("Checklist!$A304"), "TRUE") = 1</formula>
    </cfRule>
    <cfRule type="expression" dxfId="1" priority="608">
      <formula>COUNTIF(INDIRECT("Checklist!$A304"), "FALSE") = 1</formula>
    </cfRule>
    <cfRule type="notContainsBlanks" dxfId="5" priority="609">
      <formula>LEN(TRIM(D43))&gt;0</formula>
    </cfRule>
  </conditionalFormatting>
  <conditionalFormatting sqref="D44">
    <cfRule type="expression" dxfId="0" priority="625">
      <formula>COUNTIF(INDIRECT("Checklist!$A310"), "TRUE") = 1</formula>
    </cfRule>
    <cfRule type="expression" dxfId="1" priority="626">
      <formula>COUNTIF(INDIRECT("Checklist!$A310"), "FALSE") = 1</formula>
    </cfRule>
    <cfRule type="notContainsBlanks" dxfId="5" priority="627">
      <formula>LEN(TRIM(D44))&gt;0</formula>
    </cfRule>
  </conditionalFormatting>
  <conditionalFormatting sqref="D45">
    <cfRule type="expression" dxfId="0" priority="643">
      <formula>COUNTIF(INDIRECT("Checklist!$A316"), "TRUE") = 1</formula>
    </cfRule>
    <cfRule type="expression" dxfId="1" priority="644">
      <formula>COUNTIF(INDIRECT("Checklist!$A316"), "FALSE") = 1</formula>
    </cfRule>
    <cfRule type="notContainsBlanks" dxfId="5" priority="645">
      <formula>LEN(TRIM(D45))&gt;0</formula>
    </cfRule>
  </conditionalFormatting>
  <conditionalFormatting sqref="D46">
    <cfRule type="expression" dxfId="0" priority="661">
      <formula>COUNTIF(INDIRECT("Checklist!$A322"), "TRUE") = 1</formula>
    </cfRule>
    <cfRule type="expression" dxfId="1" priority="662">
      <formula>COUNTIF(INDIRECT("Checklist!$A322"), "FALSE") = 1</formula>
    </cfRule>
    <cfRule type="notContainsBlanks" dxfId="5" priority="663">
      <formula>LEN(TRIM(D46))&gt;0</formula>
    </cfRule>
  </conditionalFormatting>
  <conditionalFormatting sqref="D47">
    <cfRule type="expression" dxfId="0" priority="679">
      <formula>COUNTIF(INDIRECT("Checklist!$A328"), "TRUE") = 1</formula>
    </cfRule>
    <cfRule type="expression" dxfId="1" priority="680">
      <formula>COUNTIF(INDIRECT("Checklist!$A328"), "FALSE") = 1</formula>
    </cfRule>
    <cfRule type="notContainsBlanks" dxfId="5" priority="6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727">
      <formula>COUNTIF(INDIRECT("Checklist!$A364"), "TRUE") = 1</formula>
    </cfRule>
    <cfRule type="expression" dxfId="1" priority="728">
      <formula>COUNTIF(INDIRECT("Checklist!$A364"), "FALSE") = 1</formula>
    </cfRule>
    <cfRule type="notContainsBlanks" dxfId="5" priority="729">
      <formula>LEN(TRIM(D51))&gt;0</formula>
    </cfRule>
  </conditionalFormatting>
  <conditionalFormatting sqref="D52">
    <cfRule type="expression" dxfId="0" priority="745">
      <formula>COUNTIF(INDIRECT("Checklist!$A370"), "TRUE") = 1</formula>
    </cfRule>
    <cfRule type="expression" dxfId="1" priority="746">
      <formula>COUNTIF(INDIRECT("Checklist!$A370"), "FALSE") = 1</formula>
    </cfRule>
    <cfRule type="notContainsBlanks" dxfId="5" priority="747">
      <formula>LEN(TRIM(D52))&gt;0</formula>
    </cfRule>
  </conditionalFormatting>
  <conditionalFormatting sqref="D53">
    <cfRule type="expression" dxfId="0" priority="763">
      <formula>COUNTIF(INDIRECT("Checklist!$A376"), "TRUE") = 1</formula>
    </cfRule>
    <cfRule type="expression" dxfId="1" priority="764">
      <formula>COUNTIF(INDIRECT("Checklist!$A376"), "FALSE") = 1</formula>
    </cfRule>
    <cfRule type="notContainsBlanks" dxfId="5" priority="765">
      <formula>LEN(TRIM(D53))&gt;0</formula>
    </cfRule>
  </conditionalFormatting>
  <conditionalFormatting sqref="D54">
    <cfRule type="expression" dxfId="0" priority="781">
      <formula>COUNTIF(INDIRECT("Checklist!$A382"), "TRUE") = 1</formula>
    </cfRule>
    <cfRule type="expression" dxfId="1" priority="782">
      <formula>COUNTIF(INDIRECT("Checklist!$A382"), "FALSE") = 1</formula>
    </cfRule>
    <cfRule type="notContainsBlanks" dxfId="5" priority="783">
      <formula>LEN(TRIM(D54))&gt;0</formula>
    </cfRule>
  </conditionalFormatting>
  <conditionalFormatting sqref="D55">
    <cfRule type="expression" dxfId="0" priority="799">
      <formula>COUNTIF(INDIRECT("Checklist!$A388"), "TRUE") = 1</formula>
    </cfRule>
    <cfRule type="expression" dxfId="1" priority="800">
      <formula>COUNTIF(INDIRECT("Checklist!$A388"), "FALSE") = 1</formula>
    </cfRule>
    <cfRule type="notContainsBlanks" dxfId="5" priority="801">
      <formula>LEN(TRIM(D55))&gt;0</formula>
    </cfRule>
  </conditionalFormatting>
  <conditionalFormatting sqref="D59">
    <cfRule type="expression" dxfId="0" priority="847">
      <formula>COUNTIF(INDIRECT("Checklist!$A424"), "TRUE") = 1</formula>
    </cfRule>
    <cfRule type="expression" dxfId="1" priority="848">
      <formula>COUNTIF(INDIRECT("Checklist!$A424"), "FALSE") = 1</formula>
    </cfRule>
    <cfRule type="notContainsBlanks" dxfId="5" priority="84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865">
      <formula>COUNTIF(INDIRECT("Checklist!$A430"), "TRUE") = 1</formula>
    </cfRule>
    <cfRule type="expression" dxfId="1" priority="866">
      <formula>COUNTIF(INDIRECT("Checklist!$A430"), "FALSE") = 1</formula>
    </cfRule>
    <cfRule type="notContainsBlanks" dxfId="5" priority="867">
      <formula>LEN(TRIM(D60))&gt;0</formula>
    </cfRule>
  </conditionalFormatting>
  <conditionalFormatting sqref="D61">
    <cfRule type="expression" dxfId="0" priority="883">
      <formula>COUNTIF(INDIRECT("Checklist!$A436"), "TRUE") = 1</formula>
    </cfRule>
    <cfRule type="expression" dxfId="1" priority="884">
      <formula>COUNTIF(INDIRECT("Checklist!$A436"), "FALSE") = 1</formula>
    </cfRule>
    <cfRule type="notContainsBlanks" dxfId="5" priority="885">
      <formula>LEN(TRIM(D61))&gt;0</formula>
    </cfRule>
  </conditionalFormatting>
  <conditionalFormatting sqref="D62">
    <cfRule type="expression" dxfId="0" priority="901">
      <formula>COUNTIF(INDIRECT("Checklist!$A442"), "TRUE") = 1</formula>
    </cfRule>
    <cfRule type="expression" dxfId="1" priority="902">
      <formula>COUNTIF(INDIRECT("Checklist!$A442"), "FALSE") = 1</formula>
    </cfRule>
    <cfRule type="notContainsBlanks" dxfId="5" priority="903">
      <formula>LEN(TRIM(D62))&gt;0</formula>
    </cfRule>
  </conditionalFormatting>
  <conditionalFormatting sqref="D63">
    <cfRule type="expression" dxfId="0" priority="919">
      <formula>COUNTIF(INDIRECT("Checklist!$A448"), "TRUE") = 1</formula>
    </cfRule>
    <cfRule type="expression" dxfId="1" priority="920">
      <formula>COUNTIF(INDIRECT("Checklist!$A448"), "FALSE") = 1</formula>
    </cfRule>
    <cfRule type="notContainsBlanks" dxfId="5" priority="921">
      <formula>LEN(TRIM(D63))&gt;0</formula>
    </cfRule>
  </conditionalFormatting>
  <conditionalFormatting sqref="D67">
    <cfRule type="expression" dxfId="0" priority="967">
      <formula>COUNTIF(INDIRECT("Checklist!$A484"), "TRUE") = 1</formula>
    </cfRule>
    <cfRule type="expression" dxfId="1" priority="968">
      <formula>COUNTIF(INDIRECT("Checklist!$A484"), "FALSE") = 1</formula>
    </cfRule>
    <cfRule type="notContainsBlanks" dxfId="5" priority="969">
      <formula>LEN(TRIM(D67))&gt;0</formula>
    </cfRule>
  </conditionalFormatting>
  <conditionalFormatting sqref="D68">
    <cfRule type="expression" dxfId="0" priority="985">
      <formula>COUNTIF(INDIRECT("Checklist!$A490"), "TRUE") = 1</formula>
    </cfRule>
    <cfRule type="expression" dxfId="1" priority="986">
      <formula>COUNTIF(INDIRECT("Checklist!$A490"), "FALSE") = 1</formula>
    </cfRule>
    <cfRule type="notContainsBlanks" dxfId="5" priority="987">
      <formula>LEN(TRIM(D68))&gt;0</formula>
    </cfRule>
  </conditionalFormatting>
  <conditionalFormatting sqref="D69">
    <cfRule type="expression" dxfId="0" priority="1003">
      <formula>COUNTIF(INDIRECT("Checklist!$A496"), "TRUE") = 1</formula>
    </cfRule>
    <cfRule type="expression" dxfId="1" priority="1004">
      <formula>COUNTIF(INDIRECT("Checklist!$A496"), "FALSE") = 1</formula>
    </cfRule>
    <cfRule type="notContainsBlanks" dxfId="5" priority="100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021">
      <formula>COUNTIF(INDIRECT("Checklist!$A502"), "TRUE") = 1</formula>
    </cfRule>
    <cfRule type="expression" dxfId="1" priority="1022">
      <formula>COUNTIF(INDIRECT("Checklist!$A502"), "FALSE") = 1</formula>
    </cfRule>
    <cfRule type="notContainsBlanks" dxfId="5" priority="1023">
      <formula>LEN(TRIM(D70))&gt;0</formula>
    </cfRule>
  </conditionalFormatting>
  <conditionalFormatting sqref="D71">
    <cfRule type="expression" dxfId="0" priority="1039">
      <formula>COUNTIF(INDIRECT("Checklist!$A508"), "TRUE") = 1</formula>
    </cfRule>
    <cfRule type="expression" dxfId="1" priority="1040">
      <formula>COUNTIF(INDIRECT("Checklist!$A508"), "FALSE") = 1</formula>
    </cfRule>
    <cfRule type="notContainsBlanks" dxfId="5" priority="1041">
      <formula>LEN(TRIM(D71))&gt;0</formula>
    </cfRule>
  </conditionalFormatting>
  <conditionalFormatting sqref="D75">
    <cfRule type="expression" dxfId="0" priority="1087">
      <formula>COUNTIF(INDIRECT("Checklist!$A544"), "TRUE") = 1</formula>
    </cfRule>
    <cfRule type="expression" dxfId="1" priority="1088">
      <formula>COUNTIF(INDIRECT("Checklist!$A544"), "FALSE") = 1</formula>
    </cfRule>
    <cfRule type="notContainsBlanks" dxfId="5" priority="1089">
      <formula>LEN(TRIM(D75))&gt;0</formula>
    </cfRule>
  </conditionalFormatting>
  <conditionalFormatting sqref="D76">
    <cfRule type="expression" dxfId="0" priority="1105">
      <formula>COUNTIF(INDIRECT("Checklist!$A550"), "TRUE") = 1</formula>
    </cfRule>
    <cfRule type="expression" dxfId="1" priority="1106">
      <formula>COUNTIF(INDIRECT("Checklist!$A550"), "FALSE") = 1</formula>
    </cfRule>
    <cfRule type="notContainsBlanks" dxfId="5" priority="1107">
      <formula>LEN(TRIM(D76))&gt;0</formula>
    </cfRule>
  </conditionalFormatting>
  <conditionalFormatting sqref="D77">
    <cfRule type="expression" dxfId="0" priority="1123">
      <formula>COUNTIF(INDIRECT("Checklist!$None"), "TRUE") = 1</formula>
    </cfRule>
    <cfRule type="expression" dxfId="1" priority="1124">
      <formula>COUNTIF(INDIRECT("Checklist!$None"), "FALSE") = 1</formula>
    </cfRule>
    <cfRule type="notContainsBlanks" dxfId="5" priority="1125">
      <formula>LEN(TRIM(D77))&gt;0</formula>
    </cfRule>
  </conditionalFormatting>
  <conditionalFormatting sqref="D78">
    <cfRule type="expression" dxfId="0" priority="1141">
      <formula>COUNTIF(INDIRECT("Checklist!$A562"), "TRUE") = 1</formula>
    </cfRule>
    <cfRule type="expression" dxfId="1" priority="1142">
      <formula>COUNTIF(INDIRECT("Checklist!$A562"), "FALSE") = 1</formula>
    </cfRule>
    <cfRule type="notContainsBlanks" dxfId="5" priority="1143">
      <formula>LEN(TRIM(D78))&gt;0</formula>
    </cfRule>
  </conditionalFormatting>
  <conditionalFormatting sqref="D79">
    <cfRule type="expression" dxfId="0" priority="1159">
      <formula>COUNTIF(INDIRECT("Checklist!$A568"), "TRUE") = 1</formula>
    </cfRule>
    <cfRule type="expression" dxfId="1" priority="1160">
      <formula>COUNTIF(INDIRECT("Checklist!$A568"), "FALSE") = 1</formula>
    </cfRule>
    <cfRule type="notContainsBlanks" dxfId="5" priority="1161">
      <formula>LEN(TRIM(D79))&gt;0</formula>
    </cfRule>
  </conditionalFormatting>
  <conditionalFormatting sqref="D83">
    <cfRule type="expression" dxfId="0" priority="1207">
      <formula>COUNTIF(INDIRECT("Checklist!$A604"), "TRUE") = 1</formula>
    </cfRule>
    <cfRule type="expression" dxfId="1" priority="1208">
      <formula>COUNTIF(INDIRECT("Checklist!$A604"), "FALSE") = 1</formula>
    </cfRule>
    <cfRule type="notContainsBlanks" dxfId="5" priority="1209">
      <formula>LEN(TRIM(D83))&gt;0</formula>
    </cfRule>
  </conditionalFormatting>
  <conditionalFormatting sqref="D84">
    <cfRule type="expression" dxfId="0" priority="1225">
      <formula>COUNTIF(INDIRECT("Checklist!$A610"), "TRUE") = 1</formula>
    </cfRule>
    <cfRule type="expression" dxfId="1" priority="1226">
      <formula>COUNTIF(INDIRECT("Checklist!$A610"), "FALSE") = 1</formula>
    </cfRule>
    <cfRule type="notContainsBlanks" dxfId="5" priority="1227">
      <formula>LEN(TRIM(D84))&gt;0</formula>
    </cfRule>
  </conditionalFormatting>
  <conditionalFormatting sqref="D85">
    <cfRule type="expression" dxfId="0" priority="1243">
      <formula>COUNTIF(INDIRECT("Checklist!$A616"), "TRUE") = 1</formula>
    </cfRule>
    <cfRule type="expression" dxfId="1" priority="1244">
      <formula>COUNTIF(INDIRECT("Checklist!$A616"), "FALSE") = 1</formula>
    </cfRule>
    <cfRule type="notContainsBlanks" dxfId="5" priority="1245">
      <formula>LEN(TRIM(D85))&gt;0</formula>
    </cfRule>
  </conditionalFormatting>
  <conditionalFormatting sqref="D86">
    <cfRule type="expression" dxfId="0" priority="1261">
      <formula>COUNTIF(INDIRECT("Checklist!$A622"), "TRUE") = 1</formula>
    </cfRule>
    <cfRule type="expression" dxfId="1" priority="1262">
      <formula>COUNTIF(INDIRECT("Checklist!$A622"), "FALSE") = 1</formula>
    </cfRule>
    <cfRule type="notContainsBlanks" dxfId="5" priority="1263">
      <formula>LEN(TRIM(D86))&gt;0</formula>
    </cfRule>
  </conditionalFormatting>
  <conditionalFormatting sqref="D87">
    <cfRule type="expression" dxfId="0" priority="1279">
      <formula>COUNTIF(INDIRECT("Checklist!$A628"), "TRUE") = 1</formula>
    </cfRule>
    <cfRule type="expression" dxfId="1" priority="1280">
      <formula>COUNTIF(INDIRECT("Checklist!$A628"), "FALSE") = 1</formula>
    </cfRule>
    <cfRule type="notContainsBlanks" dxfId="5" priority="1281">
      <formula>LEN(TRIM(D87))&gt;0</formula>
    </cfRule>
  </conditionalFormatting>
  <conditionalFormatting sqref="D91">
    <cfRule type="expression" dxfId="0" priority="1327">
      <formula>COUNTIF(INDIRECT("Checklist!$A664"), "TRUE") = 1</formula>
    </cfRule>
    <cfRule type="expression" dxfId="1" priority="1328">
      <formula>COUNTIF(INDIRECT("Checklist!$A664"), "FALSE") = 1</formula>
    </cfRule>
    <cfRule type="notContainsBlanks" dxfId="5" priority="1329">
      <formula>LEN(TRIM(D91))&gt;0</formula>
    </cfRule>
  </conditionalFormatting>
  <conditionalFormatting sqref="D92">
    <cfRule type="expression" dxfId="0" priority="1345">
      <formula>COUNTIF(INDIRECT("Checklist!$A670"), "TRUE") = 1</formula>
    </cfRule>
    <cfRule type="expression" dxfId="1" priority="1346">
      <formula>COUNTIF(INDIRECT("Checklist!$A670"), "FALSE") = 1</formula>
    </cfRule>
    <cfRule type="notContainsBlanks" dxfId="5" priority="1347">
      <formula>LEN(TRIM(D92))&gt;0</formula>
    </cfRule>
  </conditionalFormatting>
  <conditionalFormatting sqref="D93">
    <cfRule type="expression" dxfId="0" priority="1363">
      <formula>COUNTIF(INDIRECT("Checklist!$A676"), "TRUE") = 1</formula>
    </cfRule>
    <cfRule type="expression" dxfId="1" priority="1364">
      <formula>COUNTIF(INDIRECT("Checklist!$A676"), "FALSE") = 1</formula>
    </cfRule>
    <cfRule type="notContainsBlanks" dxfId="5" priority="1365">
      <formula>LEN(TRIM(D93))&gt;0</formula>
    </cfRule>
  </conditionalFormatting>
  <conditionalFormatting sqref="D94">
    <cfRule type="expression" dxfId="0" priority="1381">
      <formula>COUNTIF(INDIRECT("Checklist!$None"), "TRUE") = 1</formula>
    </cfRule>
    <cfRule type="expression" dxfId="1" priority="1382">
      <formula>COUNTIF(INDIRECT("Checklist!$None"), "FALSE") = 1</formula>
    </cfRule>
    <cfRule type="notContainsBlanks" dxfId="5" priority="1383">
      <formula>LEN(TRIM(D94))&gt;0</formula>
    </cfRule>
  </conditionalFormatting>
  <conditionalFormatting sqref="D95">
    <cfRule type="expression" dxfId="0" priority="1399">
      <formula>COUNTIF(INDIRECT("Checklist!$A688"), "TRUE") = 1</formula>
    </cfRule>
    <cfRule type="expression" dxfId="1" priority="1400">
      <formula>COUNTIF(INDIRECT("Checklist!$A688"), "FALSE") = 1</formula>
    </cfRule>
    <cfRule type="notContainsBlanks" dxfId="5" priority="1401">
      <formula>LEN(TRIM(D95))&gt;0</formula>
    </cfRule>
  </conditionalFormatting>
  <conditionalFormatting sqref="D99">
    <cfRule type="expression" dxfId="0" priority="1447">
      <formula>COUNTIF(INDIRECT("Checklist!$A724"), "TRUE") = 1</formula>
    </cfRule>
    <cfRule type="expression" dxfId="1" priority="1448">
      <formula>COUNTIF(INDIRECT("Checklist!$A724"), "FALSE") = 1</formula>
    </cfRule>
    <cfRule type="notContainsBlanks" dxfId="5" priority="1449">
      <formula>LEN(TRIM(D99))&gt;0</formula>
    </cfRule>
  </conditionalFormatting>
  <conditionalFormatting sqref="E100">
    <cfRule type="expression" dxfId="0" priority="1468">
      <formula>COUNTIF(INDIRECT("Checklist!$A731"), "TRUE") = 1</formula>
    </cfRule>
    <cfRule type="expression" dxfId="1" priority="1469">
      <formula>COUNTIF(INDIRECT("Checklist!$A731"), "FALSE") = 1</formula>
    </cfRule>
    <cfRule type="notContainsBlanks" dxfId="5" priority="1470">
      <formula>LEN(TRIM(E100))&gt;0</formula>
    </cfRule>
  </conditionalFormatting>
  <conditionalFormatting sqref="E101">
    <cfRule type="expression" dxfId="0" priority="1486">
      <formula>COUNTIF(INDIRECT("Checklist!$A737"), "TRUE") = 1</formula>
    </cfRule>
    <cfRule type="expression" dxfId="1" priority="1487">
      <formula>COUNTIF(INDIRECT("Checklist!$A737"), "FALSE") = 1</formula>
    </cfRule>
    <cfRule type="notContainsBlanks" dxfId="5" priority="1488">
      <formula>LEN(TRIM(E101))&gt;0</formula>
    </cfRule>
  </conditionalFormatting>
  <conditionalFormatting sqref="E102">
    <cfRule type="expression" dxfId="0" priority="1504">
      <formula>COUNTIF(INDIRECT("Checklist!$A743"), "TRUE") = 1</formula>
    </cfRule>
    <cfRule type="expression" dxfId="1" priority="1505">
      <formula>COUNTIF(INDIRECT("Checklist!$A743"), "FALSE") = 1</formula>
    </cfRule>
    <cfRule type="notContainsBlanks" dxfId="5" priority="1506">
      <formula>LEN(TRIM(E102))&gt;0</formula>
    </cfRule>
  </conditionalFormatting>
  <conditionalFormatting sqref="E103">
    <cfRule type="expression" dxfId="0" priority="1522">
      <formula>COUNTIF(INDIRECT("Checklist!$A749"), "TRUE") = 1</formula>
    </cfRule>
    <cfRule type="expression" dxfId="1" priority="1523">
      <formula>COUNTIF(INDIRECT("Checklist!$A749"), "FALSE") = 1</formula>
    </cfRule>
    <cfRule type="notContainsBlanks" dxfId="5" priority="1524">
      <formula>LEN(TRIM(E103))&gt;0</formula>
    </cfRule>
  </conditionalFormatting>
  <conditionalFormatting sqref="E107">
    <cfRule type="expression" dxfId="0" priority="1570">
      <formula>COUNTIF(INDIRECT("Checklist!$None"), "TRUE") = 1</formula>
    </cfRule>
    <cfRule type="expression" dxfId="1" priority="1571">
      <formula>COUNTIF(INDIRECT("Checklist!$None"), "FALSE") = 1</formula>
    </cfRule>
    <cfRule type="notContainsBlanks" dxfId="5" priority="1572">
      <formula>LEN(TRIM(E107))&gt;0</formula>
    </cfRule>
  </conditionalFormatting>
  <conditionalFormatting sqref="E108">
    <cfRule type="expression" dxfId="0" priority="1588">
      <formula>COUNTIF(INDIRECT("Checklist!$A791"), "TRUE") = 1</formula>
    </cfRule>
    <cfRule type="expression" dxfId="1" priority="1589">
      <formula>COUNTIF(INDIRECT("Checklist!$A791"), "FALSE") = 1</formula>
    </cfRule>
    <cfRule type="notContainsBlanks" dxfId="5" priority="1590">
      <formula>LEN(TRIM(E108))&gt;0</formula>
    </cfRule>
  </conditionalFormatting>
  <conditionalFormatting sqref="E109">
    <cfRule type="expression" dxfId="0" priority="1606">
      <formula>COUNTIF(INDIRECT("Checklist!$A797"), "TRUE") = 1</formula>
    </cfRule>
    <cfRule type="expression" dxfId="1" priority="1607">
      <formula>COUNTIF(INDIRECT("Checklist!$A797"), "FALSE") = 1</formula>
    </cfRule>
    <cfRule type="notContainsBlanks" dxfId="5" priority="1608">
      <formula>LEN(TRIM(E109))&gt;0</formula>
    </cfRule>
  </conditionalFormatting>
  <conditionalFormatting sqref="E11">
    <cfRule type="expression" dxfId="0" priority="130">
      <formula>COUNTIF(INDIRECT("Checklist!$A65"), "TRUE") = 1</formula>
    </cfRule>
    <cfRule type="expression" dxfId="1" priority="131">
      <formula>COUNTIF(INDIRECT("Checklist!$A65"), "FALSE") = 1</formula>
    </cfRule>
    <cfRule type="notContainsBlanks" dxfId="5" priority="132">
      <formula>LEN(TRIM(E11))&gt;0</formula>
    </cfRule>
  </conditionalFormatting>
  <conditionalFormatting sqref="E110">
    <cfRule type="expression" dxfId="0" priority="1624">
      <formula>COUNTIF(INDIRECT("Checklist!$A803"), "TRUE") = 1</formula>
    </cfRule>
    <cfRule type="expression" dxfId="1" priority="1625">
      <formula>COUNTIF(INDIRECT("Checklist!$A803"), "FALSE") = 1</formula>
    </cfRule>
    <cfRule type="notContainsBlanks" dxfId="5" priority="1626">
      <formula>LEN(TRIM(E110))&gt;0</formula>
    </cfRule>
  </conditionalFormatting>
  <conditionalFormatting sqref="E111">
    <cfRule type="expression" dxfId="0" priority="1642">
      <formula>COUNTIF(INDIRECT("Checklist!$A809"), "TRUE") = 1</formula>
    </cfRule>
    <cfRule type="expression" dxfId="1" priority="1643">
      <formula>COUNTIF(INDIRECT("Checklist!$A809"), "FALSE") = 1</formula>
    </cfRule>
    <cfRule type="notContainsBlanks" dxfId="5" priority="1644">
      <formula>LEN(TRIM(E111))&gt;0</formula>
    </cfRule>
  </conditionalFormatting>
  <conditionalFormatting sqref="E115">
    <cfRule type="expression" dxfId="0" priority="1690">
      <formula>COUNTIF(INDIRECT("Checklist!$A845"), "TRUE") = 1</formula>
    </cfRule>
    <cfRule type="expression" dxfId="1" priority="1691">
      <formula>COUNTIF(INDIRECT("Checklist!$A845"), "FALSE") = 1</formula>
    </cfRule>
    <cfRule type="notContainsBlanks" dxfId="5" priority="1692">
      <formula>LEN(TRIM(E115))&gt;0</formula>
    </cfRule>
  </conditionalFormatting>
  <conditionalFormatting sqref="E116">
    <cfRule type="expression" dxfId="0" priority="1708">
      <formula>COUNTIF(INDIRECT("Checklist!$A851"), "TRUE") = 1</formula>
    </cfRule>
    <cfRule type="expression" dxfId="1" priority="1709">
      <formula>COUNTIF(INDIRECT("Checklist!$A851"), "FALSE") = 1</formula>
    </cfRule>
    <cfRule type="notContainsBlanks" dxfId="5" priority="1710">
      <formula>LEN(TRIM(E116))&gt;0</formula>
    </cfRule>
  </conditionalFormatting>
  <conditionalFormatting sqref="E117">
    <cfRule type="expression" dxfId="0" priority="1726">
      <formula>COUNTIF(INDIRECT("Checklist!$A857"), "TRUE") = 1</formula>
    </cfRule>
    <cfRule type="expression" dxfId="1" priority="1727">
      <formula>COUNTIF(INDIRECT("Checklist!$A857"), "FALSE") = 1</formula>
    </cfRule>
    <cfRule type="notContainsBlanks" dxfId="5" priority="1728">
      <formula>LEN(TRIM(E117))&gt;0</formula>
    </cfRule>
  </conditionalFormatting>
  <conditionalFormatting sqref="E118">
    <cfRule type="expression" dxfId="0" priority="1744">
      <formula>COUNTIF(INDIRECT("Checklist!$A863"), "TRUE") = 1</formula>
    </cfRule>
    <cfRule type="expression" dxfId="1" priority="1745">
      <formula>COUNTIF(INDIRECT("Checklist!$A863"), "FALSE") = 1</formula>
    </cfRule>
    <cfRule type="notContainsBlanks" dxfId="5" priority="1746">
      <formula>LEN(TRIM(E118))&gt;0</formula>
    </cfRule>
  </conditionalFormatting>
  <conditionalFormatting sqref="E119">
    <cfRule type="expression" dxfId="0" priority="1762">
      <formula>COUNTIF(INDIRECT("Checklist!$A869"), "TRUE") = 1</formula>
    </cfRule>
    <cfRule type="expression" dxfId="1" priority="1763">
      <formula>COUNTIF(INDIRECT("Checklist!$A869"), "FALSE") = 1</formula>
    </cfRule>
    <cfRule type="notContainsBlanks" dxfId="5" priority="1764">
      <formula>LEN(TRIM(E119))&gt;0</formula>
    </cfRule>
  </conditionalFormatting>
  <conditionalFormatting sqref="E12">
    <cfRule type="expression" dxfId="0" priority="148">
      <formula>COUNTIF(INDIRECT("Checklist!$A71"), "TRUE") = 1</formula>
    </cfRule>
    <cfRule type="expression" dxfId="1" priority="149">
      <formula>COUNTIF(INDIRECT("Checklist!$A71"), "FALSE") = 1</formula>
    </cfRule>
    <cfRule type="notContainsBlanks" dxfId="5" priority="150">
      <formula>LEN(TRIM(E12))&gt;0</formula>
    </cfRule>
  </conditionalFormatting>
  <conditionalFormatting sqref="E123">
    <cfRule type="expression" dxfId="0" priority="1810">
      <formula>COUNTIF(INDIRECT("Checklist!$A905"), "TRUE") = 1</formula>
    </cfRule>
    <cfRule type="expression" dxfId="1" priority="1811">
      <formula>COUNTIF(INDIRECT("Checklist!$A905"), "FALSE") = 1</formula>
    </cfRule>
    <cfRule type="notContainsBlanks" dxfId="5" priority="1812">
      <formula>LEN(TRIM(E123))&gt;0</formula>
    </cfRule>
  </conditionalFormatting>
  <conditionalFormatting sqref="E13">
    <cfRule type="expression" dxfId="0" priority="166">
      <formula>COUNTIF(INDIRECT("Checklist!$A77"), "TRUE") = 1</formula>
    </cfRule>
    <cfRule type="expression" dxfId="1" priority="167">
      <formula>COUNTIF(INDIRECT("Checklist!$A77"), "FALSE") = 1</formula>
    </cfRule>
    <cfRule type="notContainsBlanks" dxfId="5" priority="168">
      <formula>LEN(TRIM(E13))&gt;0</formula>
    </cfRule>
  </conditionalFormatting>
  <conditionalFormatting sqref="E131">
    <cfRule type="expression" dxfId="0" priority="1855">
      <formula>COUNTIF(INDIRECT("Checklist!$None"), "TRUE") = 1</formula>
    </cfRule>
    <cfRule type="expression" dxfId="1" priority="1856">
      <formula>COUNTIF(INDIRECT("Checklist!$None"), "FALSE") = 1</formula>
    </cfRule>
    <cfRule type="notContainsBlanks" dxfId="5" priority="1857">
      <formula>LEN(TRIM(E131))&gt;0</formula>
    </cfRule>
  </conditionalFormatting>
  <conditionalFormatting sqref="E132">
    <cfRule type="expression" dxfId="0" priority="1873">
      <formula>COUNTIF(INDIRECT("Checklist!$None"), "TRUE") = 1</formula>
    </cfRule>
    <cfRule type="expression" dxfId="1" priority="1874">
      <formula>COUNTIF(INDIRECT("Checklist!$None"), "FALSE") = 1</formula>
    </cfRule>
    <cfRule type="notContainsBlanks" dxfId="5" priority="1875">
      <formula>LEN(TRIM(E132))&gt;0</formula>
    </cfRule>
  </conditionalFormatting>
  <conditionalFormatting sqref="E133">
    <cfRule type="expression" dxfId="0" priority="1891">
      <formula>COUNTIF(INDIRECT("Checklist!$None"), "TRUE") = 1</formula>
    </cfRule>
    <cfRule type="expression" dxfId="1" priority="1892">
      <formula>COUNTIF(INDIRECT("Checklist!$None"), "FALSE") = 1</formula>
    </cfRule>
    <cfRule type="notContainsBlanks" dxfId="5" priority="1893">
      <formula>LEN(TRIM(E133))&gt;0</formula>
    </cfRule>
  </conditionalFormatting>
  <conditionalFormatting sqref="E134">
    <cfRule type="expression" dxfId="0" priority="1909">
      <formula>COUNTIF(INDIRECT("Checklist!$None"), "TRUE") = 1</formula>
    </cfRule>
    <cfRule type="expression" dxfId="1" priority="1910">
      <formula>COUNTIF(INDIRECT("Checklist!$None"), "FALSE") = 1</formula>
    </cfRule>
    <cfRule type="notContainsBlanks" dxfId="5" priority="1911">
      <formula>LEN(TRIM(E134))&gt;0</formula>
    </cfRule>
  </conditionalFormatting>
  <conditionalFormatting sqref="E135">
    <cfRule type="expression" dxfId="0" priority="1927">
      <formula>COUNTIF(INDIRECT("Checklist!$None"), "TRUE") = 1</formula>
    </cfRule>
    <cfRule type="expression" dxfId="1" priority="1928">
      <formula>COUNTIF(INDIRECT("Checklist!$None"), "FALSE") = 1</formula>
    </cfRule>
    <cfRule type="notContainsBlanks" dxfId="5" priority="1929">
      <formula>LEN(TRIM(E135))&gt;0</formula>
    </cfRule>
  </conditionalFormatting>
  <conditionalFormatting sqref="E139">
    <cfRule type="expression" dxfId="0" priority="1975">
      <formula>COUNTIF(INDIRECT("Checklist!$None"), "TRUE") = 1</formula>
    </cfRule>
    <cfRule type="expression" dxfId="1" priority="1976">
      <formula>COUNTIF(INDIRECT("Checklist!$None"), "FALSE") = 1</formula>
    </cfRule>
    <cfRule type="notContainsBlanks" dxfId="5" priority="1977">
      <formula>LEN(TRIM(E139))&gt;0</formula>
    </cfRule>
  </conditionalFormatting>
  <conditionalFormatting sqref="E14">
    <cfRule type="expression" dxfId="0" priority="184">
      <formula>COUNTIF(INDIRECT("Checklist!$A83"), "TRUE") = 1</formula>
    </cfRule>
    <cfRule type="expression" dxfId="1" priority="185">
      <formula>COUNTIF(INDIRECT("Checklist!$A83"), "FALSE") = 1</formula>
    </cfRule>
    <cfRule type="notContainsBlanks" dxfId="5" priority="186">
      <formula>LEN(TRIM(E14))&gt;0</formula>
    </cfRule>
  </conditionalFormatting>
  <conditionalFormatting sqref="E140">
    <cfRule type="expression" dxfId="0" priority="1993">
      <formula>COUNTIF(INDIRECT("Checklist!$None"), "TRUE") = 1</formula>
    </cfRule>
    <cfRule type="expression" dxfId="1" priority="1994">
      <formula>COUNTIF(INDIRECT("Checklist!$None"), "FALSE") = 1</formula>
    </cfRule>
    <cfRule type="notContainsBlanks" dxfId="5" priority="1995">
      <formula>LEN(TRIM(E140))&gt;0</formula>
    </cfRule>
  </conditionalFormatting>
  <conditionalFormatting sqref="E147">
    <cfRule type="expression" dxfId="0" priority="2020">
      <formula>COUNTIF(INDIRECT("Checklist!$None"), "TRUE") = 1</formula>
    </cfRule>
    <cfRule type="expression" dxfId="1" priority="2021">
      <formula>COUNTIF(INDIRECT("Checklist!$None"), "FALSE") = 1</formula>
    </cfRule>
    <cfRule type="notContainsBlanks" dxfId="5" priority="2022">
      <formula>LEN(TRIM(E147))&gt;0</formula>
    </cfRule>
  </conditionalFormatting>
  <conditionalFormatting sqref="E148">
    <cfRule type="expression" dxfId="0" priority="2038">
      <formula>COUNTIF(INDIRECT("Checklist!$None"), "TRUE") = 1</formula>
    </cfRule>
    <cfRule type="expression" dxfId="1" priority="2039">
      <formula>COUNTIF(INDIRECT("Checklist!$None"), "FALSE") = 1</formula>
    </cfRule>
    <cfRule type="notContainsBlanks" dxfId="5" priority="2040">
      <formula>LEN(TRIM(E148))&gt;0</formula>
    </cfRule>
  </conditionalFormatting>
  <conditionalFormatting sqref="E149">
    <cfRule type="expression" dxfId="0" priority="2056">
      <formula>COUNTIF(INDIRECT("Checklist!$None"), "TRUE") = 1</formula>
    </cfRule>
    <cfRule type="expression" dxfId="1" priority="2057">
      <formula>COUNTIF(INDIRECT("Checklist!$None"), "FALSE") = 1</formula>
    </cfRule>
    <cfRule type="notContainsBlanks" dxfId="5" priority="2058">
      <formula>LEN(TRIM(E149))&gt;0</formula>
    </cfRule>
  </conditionalFormatting>
  <conditionalFormatting sqref="E15">
    <cfRule type="expression" dxfId="0" priority="202">
      <formula>COUNTIF(INDIRECT("Checklist!$A89"), "TRUE") = 1</formula>
    </cfRule>
    <cfRule type="expression" dxfId="1" priority="203">
      <formula>COUNTIF(INDIRECT("Checklist!$A89"), "FALSE") = 1</formula>
    </cfRule>
    <cfRule type="notContainsBlanks" dxfId="5" priority="204">
      <formula>LEN(TRIM(E15))&gt;0</formula>
    </cfRule>
  </conditionalFormatting>
  <conditionalFormatting sqref="E150">
    <cfRule type="expression" dxfId="0" priority="2074">
      <formula>COUNTIF(INDIRECT("Checklist!$None"), "TRUE") = 1</formula>
    </cfRule>
    <cfRule type="expression" dxfId="1" priority="2075">
      <formula>COUNTIF(INDIRECT("Checklist!$None"), "FALSE") = 1</formula>
    </cfRule>
    <cfRule type="notContainsBlanks" dxfId="5" priority="2076">
      <formula>LEN(TRIM(E150))&gt;0</formula>
    </cfRule>
  </conditionalFormatting>
  <conditionalFormatting sqref="E151">
    <cfRule type="expression" dxfId="0" priority="2092">
      <formula>COUNTIF(INDIRECT("Checklist!$None"), "TRUE") = 1</formula>
    </cfRule>
    <cfRule type="expression" dxfId="1" priority="2093">
      <formula>COUNTIF(INDIRECT("Checklist!$None"), "FALSE") = 1</formula>
    </cfRule>
    <cfRule type="notContainsBlanks" dxfId="5" priority="2094">
      <formula>LEN(TRIM(E151))&gt;0</formula>
    </cfRule>
  </conditionalFormatting>
  <conditionalFormatting sqref="E155">
    <cfRule type="expression" dxfId="0" priority="2130">
      <formula>COUNTIF(INDIRECT("Checklist!$None"), "TRUE") = 1</formula>
    </cfRule>
    <cfRule type="expression" dxfId="1" priority="2131">
      <formula>COUNTIF(INDIRECT("Checklist!$None"), "FALSE") = 1</formula>
    </cfRule>
    <cfRule type="notContainsBlanks" dxfId="5" priority="2132">
      <formula>LEN(TRIM(E155))&gt;0</formula>
    </cfRule>
  </conditionalFormatting>
  <conditionalFormatting sqref="E156">
    <cfRule type="expression" dxfId="0" priority="2148">
      <formula>COUNTIF(INDIRECT("Checklist!$None"), "TRUE") = 1</formula>
    </cfRule>
    <cfRule type="expression" dxfId="1" priority="2149">
      <formula>COUNTIF(INDIRECT("Checklist!$None"), "FALSE") = 1</formula>
    </cfRule>
    <cfRule type="notContainsBlanks" dxfId="5" priority="2150">
      <formula>LEN(TRIM(E156))&gt;0</formula>
    </cfRule>
  </conditionalFormatting>
  <conditionalFormatting sqref="E157">
    <cfRule type="expression" dxfId="0" priority="2166">
      <formula>COUNTIF(INDIRECT("Checklist!$None"), "TRUE") = 1</formula>
    </cfRule>
    <cfRule type="expression" dxfId="1" priority="2167">
      <formula>COUNTIF(INDIRECT("Checklist!$None"), "FALSE") = 1</formula>
    </cfRule>
    <cfRule type="notContainsBlanks" dxfId="5" priority="2168">
      <formula>LEN(TRIM(E157))&gt;0</formula>
    </cfRule>
  </conditionalFormatting>
  <conditionalFormatting sqref="E158">
    <cfRule type="expression" dxfId="0" priority="2184">
      <formula>COUNTIF(INDIRECT("Checklist!$A1031"), "TRUE") = 1</formula>
    </cfRule>
    <cfRule type="expression" dxfId="1" priority="2185">
      <formula>COUNTIF(INDIRECT("Checklist!$A1031"), "FALSE") = 1</formula>
    </cfRule>
    <cfRule type="notContainsBlanks" dxfId="5" priority="2186">
      <formula>LEN(TRIM(E158))&gt;0</formula>
    </cfRule>
  </conditionalFormatting>
  <conditionalFormatting sqref="E163">
    <cfRule type="expression" dxfId="0" priority="2231">
      <formula>COUNTIF(INDIRECT("Checklist!$None"), "TRUE") = 1</formula>
    </cfRule>
    <cfRule type="expression" dxfId="1" priority="2232">
      <formula>COUNTIF(INDIRECT("Checklist!$None"), "FALSE") = 1</formula>
    </cfRule>
    <cfRule type="notContainsBlanks" dxfId="5" priority="2233">
      <formula>LEN(TRIM(E163))&gt;0</formula>
    </cfRule>
  </conditionalFormatting>
  <conditionalFormatting sqref="E164">
    <cfRule type="expression" dxfId="0" priority="2249">
      <formula>COUNTIF(INDIRECT("Checklist!$None"), "TRUE") = 1</formula>
    </cfRule>
    <cfRule type="expression" dxfId="1" priority="2250">
      <formula>COUNTIF(INDIRECT("Checklist!$None"), "FALSE") = 1</formula>
    </cfRule>
    <cfRule type="notContainsBlanks" dxfId="5" priority="2251">
      <formula>LEN(TRIM(E164))&gt;0</formula>
    </cfRule>
  </conditionalFormatting>
  <conditionalFormatting sqref="E165">
    <cfRule type="expression" dxfId="0" priority="2267">
      <formula>COUNTIF(INDIRECT("Checklist!$None"), "TRUE") = 1</formula>
    </cfRule>
    <cfRule type="expression" dxfId="1" priority="2268">
      <formula>COUNTIF(INDIRECT("Checklist!$None"), "FALSE") = 1</formula>
    </cfRule>
    <cfRule type="notContainsBlanks" dxfId="5" priority="2269">
      <formula>LEN(TRIM(E165))&gt;0</formula>
    </cfRule>
  </conditionalFormatting>
  <conditionalFormatting sqref="E166">
    <cfRule type="expression" dxfId="0" priority="2285">
      <formula>COUNTIF(INDIRECT("Checklist!$None"), "TRUE") = 1</formula>
    </cfRule>
    <cfRule type="expression" dxfId="1" priority="2286">
      <formula>COUNTIF(INDIRECT("Checklist!$None"), "FALSE") = 1</formula>
    </cfRule>
    <cfRule type="notContainsBlanks" dxfId="5" priority="2287">
      <formula>LEN(TRIM(E166))&gt;0</formula>
    </cfRule>
  </conditionalFormatting>
  <conditionalFormatting sqref="E167">
    <cfRule type="expression" dxfId="0" priority="2303">
      <formula>COUNTIF(INDIRECT("Checklist!$A1192"), "TRUE") = 1</formula>
    </cfRule>
    <cfRule type="expression" dxfId="1" priority="2304">
      <formula>COUNTIF(INDIRECT("Checklist!$A1192"), "FALSE") = 1</formula>
    </cfRule>
    <cfRule type="notContainsBlanks" dxfId="5" priority="2305">
      <formula>LEN(TRIM(E167))&gt;0</formula>
    </cfRule>
  </conditionalFormatting>
  <conditionalFormatting sqref="E171">
    <cfRule type="expression" dxfId="0" priority="2341">
      <formula>COUNTIF(INDIRECT("Checklist!$A1136"), "TRUE") = 1</formula>
    </cfRule>
    <cfRule type="expression" dxfId="1" priority="2342">
      <formula>COUNTIF(INDIRECT("Checklist!$A1136"), "FALSE") = 1</formula>
    </cfRule>
    <cfRule type="notContainsBlanks" dxfId="5" priority="2343">
      <formula>LEN(TRIM(E171))&gt;0</formula>
    </cfRule>
  </conditionalFormatting>
  <conditionalFormatting sqref="E172">
    <cfRule type="expression" dxfId="0" priority="2359">
      <formula>COUNTIF(INDIRECT("Checklist!$A1137"), "TRUE") = 1</formula>
    </cfRule>
    <cfRule type="expression" dxfId="1" priority="2360">
      <formula>COUNTIF(INDIRECT("Checklist!$A1137"), "FALSE") = 1</formula>
    </cfRule>
    <cfRule type="notContainsBlanks" dxfId="5" priority="2361">
      <formula>LEN(TRIM(E172))&gt;0</formula>
    </cfRule>
  </conditionalFormatting>
  <conditionalFormatting sqref="E173">
    <cfRule type="expression" dxfId="0" priority="2377">
      <formula>COUNTIF(INDIRECT("Checklist!$A1150"), "TRUE") = 1</formula>
    </cfRule>
    <cfRule type="expression" dxfId="1" priority="2378">
      <formula>COUNTIF(INDIRECT("Checklist!$A1150"), "FALSE") = 1</formula>
    </cfRule>
    <cfRule type="notContainsBlanks" dxfId="5" priority="2379">
      <formula>LEN(TRIM(E173))&gt;0</formula>
    </cfRule>
  </conditionalFormatting>
  <conditionalFormatting sqref="E179">
    <cfRule type="expression" dxfId="0" priority="2431">
      <formula>COUNTIF(INDIRECT("Checklist!$None"), "TRUE") = 1</formula>
    </cfRule>
    <cfRule type="expression" dxfId="1" priority="2432">
      <formula>COUNTIF(INDIRECT("Checklist!$None"), "FALSE") = 1</formula>
    </cfRule>
    <cfRule type="notContainsBlanks" dxfId="5" priority="2433">
      <formula>LEN(TRIM(E179))&gt;0</formula>
    </cfRule>
  </conditionalFormatting>
  <conditionalFormatting sqref="E180">
    <cfRule type="expression" dxfId="0" priority="2449">
      <formula>COUNTIF(INDIRECT("Checklist!$None"), "TRUE") = 1</formula>
    </cfRule>
    <cfRule type="expression" dxfId="1" priority="2450">
      <formula>COUNTIF(INDIRECT("Checklist!$None"), "FALSE") = 1</formula>
    </cfRule>
    <cfRule type="notContainsBlanks" dxfId="5" priority="2451">
      <formula>LEN(TRIM(E180))&gt;0</formula>
    </cfRule>
  </conditionalFormatting>
  <conditionalFormatting sqref="E181">
    <cfRule type="expression" dxfId="0" priority="2467">
      <formula>COUNTIF(INDIRECT("Checklist!$None"), "TRUE") = 1</formula>
    </cfRule>
    <cfRule type="expression" dxfId="1" priority="2468">
      <formula>COUNTIF(INDIRECT("Checklist!$None"), "FALSE") = 1</formula>
    </cfRule>
    <cfRule type="notContainsBlanks" dxfId="5" priority="2469">
      <formula>LEN(TRIM(E181))&gt;0</formula>
    </cfRule>
  </conditionalFormatting>
  <conditionalFormatting sqref="E182">
    <cfRule type="expression" dxfId="0" priority="2485">
      <formula>COUNTIF(INDIRECT("Checklist!$None"), "TRUE") = 1</formula>
    </cfRule>
    <cfRule type="expression" dxfId="1" priority="2486">
      <formula>COUNTIF(INDIRECT("Checklist!$None"), "FALSE") = 1</formula>
    </cfRule>
    <cfRule type="notContainsBlanks" dxfId="5" priority="2487">
      <formula>LEN(TRIM(E182))&gt;0</formula>
    </cfRule>
  </conditionalFormatting>
  <conditionalFormatting sqref="E183">
    <cfRule type="expression" dxfId="0" priority="2503">
      <formula>COUNTIF(INDIRECT("Checklist!$None"), "TRUE") = 1</formula>
    </cfRule>
    <cfRule type="expression" dxfId="1" priority="2504">
      <formula>COUNTIF(INDIRECT("Checklist!$None"), "FALSE") = 1</formula>
    </cfRule>
    <cfRule type="notContainsBlanks" dxfId="5" priority="2505">
      <formula>LEN(TRIM(E183))&gt;0</formula>
    </cfRule>
  </conditionalFormatting>
  <conditionalFormatting sqref="E187">
    <cfRule type="expression" dxfId="0" priority="2543">
      <formula>COUNTIF(INDIRECT("Checklist!$None"), "TRUE") = 1</formula>
    </cfRule>
    <cfRule type="expression" dxfId="1" priority="2544">
      <formula>COUNTIF(INDIRECT("Checklist!$None"), "FALSE") = 1</formula>
    </cfRule>
    <cfRule type="notContainsBlanks" dxfId="5" priority="2545">
      <formula>LEN(TRIM(E187))&gt;0</formula>
    </cfRule>
  </conditionalFormatting>
  <conditionalFormatting sqref="E19">
    <cfRule type="expression" dxfId="0" priority="250">
      <formula>COUNTIF(INDIRECT("Checklist!$A125"), "TRUE") = 1</formula>
    </cfRule>
    <cfRule type="expression" dxfId="1" priority="251">
      <formula>COUNTIF(INDIRECT("Checklist!$A125"), "FALSE") = 1</formula>
    </cfRule>
    <cfRule type="notContainsBlanks" dxfId="5" priority="252">
      <formula>LEN(TRIM(E19))&gt;0</formula>
    </cfRule>
  </conditionalFormatting>
  <conditionalFormatting sqref="E195">
    <cfRule type="expression" dxfId="0" priority="2594">
      <formula>COUNTIF(INDIRECT("Checklist!$A870"), "TRUE") = 1</formula>
    </cfRule>
    <cfRule type="expression" dxfId="1" priority="2595">
      <formula>COUNTIF(INDIRECT("Checklist!$A870"), "FALSE") = 1</formula>
    </cfRule>
    <cfRule type="notContainsBlanks" dxfId="5" priority="2596">
      <formula>LEN(TRIM(E195))&gt;0</formula>
    </cfRule>
  </conditionalFormatting>
  <conditionalFormatting sqref="E20">
    <cfRule type="expression" dxfId="0" priority="268">
      <formula>COUNTIF(INDIRECT("Checklist!$A131"), "TRUE") = 1</formula>
    </cfRule>
    <cfRule type="expression" dxfId="1" priority="269">
      <formula>COUNTIF(INDIRECT("Checklist!$A131"), "FALSE") = 1</formula>
    </cfRule>
    <cfRule type="notContainsBlanks" dxfId="5" priority="270">
      <formula>LEN(TRIM(E20))&gt;0</formula>
    </cfRule>
  </conditionalFormatting>
  <conditionalFormatting sqref="E203">
    <cfRule type="expression" dxfId="0" priority="2618">
      <formula>COUNTIF(INDIRECT("Checklist!$A1112"), "TRUE") = 1</formula>
    </cfRule>
    <cfRule type="expression" dxfId="1" priority="2619">
      <formula>COUNTIF(INDIRECT("Checklist!$A1112"), "FALSE") = 1</formula>
    </cfRule>
    <cfRule type="notContainsBlanks" dxfId="5" priority="2620">
      <formula>LEN(TRIM(E203))&gt;0</formula>
    </cfRule>
  </conditionalFormatting>
  <conditionalFormatting sqref="E204">
    <cfRule type="expression" dxfId="0" priority="2636">
      <formula>COUNTIF(INDIRECT("Checklist!$A1118"), "TRUE") = 1</formula>
    </cfRule>
    <cfRule type="expression" dxfId="1" priority="2637">
      <formula>COUNTIF(INDIRECT("Checklist!$A1118"), "FALSE") = 1</formula>
    </cfRule>
    <cfRule type="notContainsBlanks" dxfId="5" priority="2638">
      <formula>LEN(TRIM(E204))&gt;0</formula>
    </cfRule>
  </conditionalFormatting>
  <conditionalFormatting sqref="E205">
    <cfRule type="expression" dxfId="0" priority="2654">
      <formula>COUNTIF(INDIRECT("Checklist!$A1124"), "TRUE") = 1</formula>
    </cfRule>
    <cfRule type="expression" dxfId="1" priority="2655">
      <formula>COUNTIF(INDIRECT("Checklist!$A1124"), "FALSE") = 1</formula>
    </cfRule>
    <cfRule type="notContainsBlanks" dxfId="5" priority="2656">
      <formula>LEN(TRIM(E205))&gt;0</formula>
    </cfRule>
  </conditionalFormatting>
  <conditionalFormatting sqref="E21">
    <cfRule type="expression" dxfId="0" priority="286">
      <formula>COUNTIF(INDIRECT("Checklist!$A137"), "TRUE") = 1</formula>
    </cfRule>
    <cfRule type="expression" dxfId="1" priority="287">
      <formula>COUNTIF(INDIRECT("Checklist!$A137"), "FALSE") = 1</formula>
    </cfRule>
    <cfRule type="notContainsBlanks" dxfId="5" priority="288">
      <formula>LEN(TRIM(E21))&gt;0</formula>
    </cfRule>
  </conditionalFormatting>
  <conditionalFormatting sqref="E211">
    <cfRule type="expression" dxfId="0" priority="2691">
      <formula>COUNTIF(INDIRECT("Checklist!$A1243"), "TRUE") = 1</formula>
    </cfRule>
    <cfRule type="expression" dxfId="1" priority="2692">
      <formula>COUNTIF(INDIRECT("Checklist!$A1243"), "FALSE") = 1</formula>
    </cfRule>
    <cfRule type="notContainsBlanks" dxfId="5" priority="2693">
      <formula>LEN(TRIM(E211))&gt;0</formula>
    </cfRule>
  </conditionalFormatting>
  <conditionalFormatting sqref="E212">
    <cfRule type="expression" dxfId="0" priority="2709">
      <formula>COUNTIF(INDIRECT("Checklist!$A1258"), "TRUE") = 1</formula>
    </cfRule>
    <cfRule type="expression" dxfId="1" priority="2710">
      <formula>COUNTIF(INDIRECT("Checklist!$A1258"), "FALSE") = 1</formula>
    </cfRule>
    <cfRule type="notContainsBlanks" dxfId="5" priority="2711">
      <formula>LEN(TRIM(E212))&gt;0</formula>
    </cfRule>
  </conditionalFormatting>
  <conditionalFormatting sqref="E213">
    <cfRule type="expression" dxfId="0" priority="2727">
      <formula>COUNTIF(INDIRECT("Checklist!$A1254"), "TRUE") = 1</formula>
    </cfRule>
    <cfRule type="expression" dxfId="1" priority="2728">
      <formula>COUNTIF(INDIRECT("Checklist!$A1254"), "FALSE") = 1</formula>
    </cfRule>
    <cfRule type="notContainsBlanks" dxfId="5" priority="2729">
      <formula>LEN(TRIM(E213))&gt;0</formula>
    </cfRule>
  </conditionalFormatting>
  <conditionalFormatting sqref="E22">
    <cfRule type="expression" dxfId="0" priority="304">
      <formula>COUNTIF(INDIRECT("Checklist!$A143"), "TRUE") = 1</formula>
    </cfRule>
    <cfRule type="expression" dxfId="1" priority="305">
      <formula>COUNTIF(INDIRECT("Checklist!$A143"), "FALSE") = 1</formula>
    </cfRule>
    <cfRule type="notContainsBlanks" dxfId="5" priority="306">
      <formula>LEN(TRIM(E22))&gt;0</formula>
    </cfRule>
  </conditionalFormatting>
  <conditionalFormatting sqref="E23">
    <cfRule type="expression" dxfId="0" priority="322">
      <formula>COUNTIF(INDIRECT("Checklist!$A149"), "TRUE") = 1</formula>
    </cfRule>
    <cfRule type="expression" dxfId="1" priority="323">
      <formula>COUNTIF(INDIRECT("Checklist!$A149"), "FALSE") = 1</formula>
    </cfRule>
    <cfRule type="notContainsBlanks" dxfId="5" priority="324">
      <formula>LEN(TRIM(E23))&gt;0</formula>
    </cfRule>
  </conditionalFormatting>
  <conditionalFormatting sqref="E27">
    <cfRule type="expression" dxfId="0" priority="370">
      <formula>COUNTIF(INDIRECT("Checklist!$A185"), "TRUE") = 1</formula>
    </cfRule>
    <cfRule type="expression" dxfId="1" priority="371">
      <formula>COUNTIF(INDIRECT("Checklist!$A185"), "FALSE") = 1</formula>
    </cfRule>
    <cfRule type="notContainsBlanks" dxfId="5" priority="372">
      <formula>LEN(TRIM(E27))&gt;0</formula>
    </cfRule>
  </conditionalFormatting>
  <conditionalFormatting sqref="E28">
    <cfRule type="expression" dxfId="0" priority="388">
      <formula>COUNTIF(INDIRECT("Checklist!$A191"), "TRUE") = 1</formula>
    </cfRule>
    <cfRule type="expression" dxfId="1" priority="389">
      <formula>COUNTIF(INDIRECT("Checklist!$A191"), "FALSE") = 1</formula>
    </cfRule>
    <cfRule type="notContainsBlanks" dxfId="5" priority="390">
      <formula>LEN(TRIM(E28))&gt;0</formula>
    </cfRule>
  </conditionalFormatting>
  <conditionalFormatting sqref="E29">
    <cfRule type="expression" dxfId="0" priority="406">
      <formula>COUNTIF(INDIRECT("Checklist!$A197"), "TRUE") = 1</formula>
    </cfRule>
    <cfRule type="expression" dxfId="1" priority="407">
      <formula>COUNTIF(INDIRECT("Checklist!$A197"), "FALSE") = 1</formula>
    </cfRule>
    <cfRule type="notContainsBlanks" dxfId="5" priority="40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424">
      <formula>COUNTIF(INDIRECT("Checklist!$A203"), "TRUE") = 1</formula>
    </cfRule>
    <cfRule type="expression" dxfId="1" priority="425">
      <formula>COUNTIF(INDIRECT("Checklist!$A203"), "FALSE") = 1</formula>
    </cfRule>
    <cfRule type="notContainsBlanks" dxfId="5" priority="426">
      <formula>LEN(TRIM(E30))&gt;0</formula>
    </cfRule>
  </conditionalFormatting>
  <conditionalFormatting sqref="E31">
    <cfRule type="expression" dxfId="0" priority="442">
      <formula>COUNTIF(INDIRECT("Checklist!$A209"), "TRUE") = 1</formula>
    </cfRule>
    <cfRule type="expression" dxfId="1" priority="443">
      <formula>COUNTIF(INDIRECT("Checklist!$A209"), "FALSE") = 1</formula>
    </cfRule>
    <cfRule type="notContainsBlanks" dxfId="5" priority="444">
      <formula>LEN(TRIM(E31))&gt;0</formula>
    </cfRule>
  </conditionalFormatting>
  <conditionalFormatting sqref="E35">
    <cfRule type="expression" dxfId="0" priority="490">
      <formula>COUNTIF(INDIRECT("Checklist!$A245"), "TRUE") = 1</formula>
    </cfRule>
    <cfRule type="expression" dxfId="1" priority="491">
      <formula>COUNTIF(INDIRECT("Checklist!$A245"), "FALSE") = 1</formula>
    </cfRule>
    <cfRule type="notContainsBlanks" dxfId="5" priority="492">
      <formula>LEN(TRIM(E35))&gt;0</formula>
    </cfRule>
  </conditionalFormatting>
  <conditionalFormatting sqref="E36">
    <cfRule type="expression" dxfId="0" priority="508">
      <formula>COUNTIF(INDIRECT("Checklist!$None"), "TRUE") = 1</formula>
    </cfRule>
    <cfRule type="expression" dxfId="1" priority="509">
      <formula>COUNTIF(INDIRECT("Checklist!$None"), "FALSE") = 1</formula>
    </cfRule>
    <cfRule type="notContainsBlanks" dxfId="5" priority="510">
      <formula>LEN(TRIM(E36))&gt;0</formula>
    </cfRule>
  </conditionalFormatting>
  <conditionalFormatting sqref="E37">
    <cfRule type="expression" dxfId="0" priority="526">
      <formula>COUNTIF(INDIRECT("Checklist!$A257"), "TRUE") = 1</formula>
    </cfRule>
    <cfRule type="expression" dxfId="1" priority="527">
      <formula>COUNTIF(INDIRECT("Checklist!$A257"), "FALSE") = 1</formula>
    </cfRule>
    <cfRule type="notContainsBlanks" dxfId="5" priority="528">
      <formula>LEN(TRIM(E37))&gt;0</formula>
    </cfRule>
  </conditionalFormatting>
  <conditionalFormatting sqref="E38">
    <cfRule type="expression" dxfId="0" priority="544">
      <formula>COUNTIF(INDIRECT("Checklist!$A263"), "TRUE") = 1</formula>
    </cfRule>
    <cfRule type="expression" dxfId="1" priority="545">
      <formula>COUNTIF(INDIRECT("Checklist!$A263"), "FALSE") = 1</formula>
    </cfRule>
    <cfRule type="notContainsBlanks" dxfId="5" priority="546">
      <formula>LEN(TRIM(E38))&gt;0</formula>
    </cfRule>
  </conditionalFormatting>
  <conditionalFormatting sqref="E39">
    <cfRule type="expression" dxfId="0" priority="562">
      <formula>COUNTIF(INDIRECT("Checklist!$A269"), "TRUE") = 1</formula>
    </cfRule>
    <cfRule type="expression" dxfId="1" priority="563">
      <formula>COUNTIF(INDIRECT("Checklist!$A269"), "FALSE") = 1</formula>
    </cfRule>
    <cfRule type="notContainsBlanks" dxfId="5" priority="56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610">
      <formula>COUNTIF(INDIRECT("Checklist!$A305"), "TRUE") = 1</formula>
    </cfRule>
    <cfRule type="expression" dxfId="1" priority="611">
      <formula>COUNTIF(INDIRECT("Checklist!$A305"), "FALSE") = 1</formula>
    </cfRule>
    <cfRule type="notContainsBlanks" dxfId="5" priority="612">
      <formula>LEN(TRIM(E43))&gt;0</formula>
    </cfRule>
  </conditionalFormatting>
  <conditionalFormatting sqref="E44">
    <cfRule type="expression" dxfId="0" priority="628">
      <formula>COUNTIF(INDIRECT("Checklist!$A311"), "TRUE") = 1</formula>
    </cfRule>
    <cfRule type="expression" dxfId="1" priority="629">
      <formula>COUNTIF(INDIRECT("Checklist!$A311"), "FALSE") = 1</formula>
    </cfRule>
    <cfRule type="notContainsBlanks" dxfId="5" priority="630">
      <formula>LEN(TRIM(E44))&gt;0</formula>
    </cfRule>
  </conditionalFormatting>
  <conditionalFormatting sqref="E45">
    <cfRule type="expression" dxfId="0" priority="646">
      <formula>COUNTIF(INDIRECT("Checklist!$A317"), "TRUE") = 1</formula>
    </cfRule>
    <cfRule type="expression" dxfId="1" priority="647">
      <formula>COUNTIF(INDIRECT("Checklist!$A317"), "FALSE") = 1</formula>
    </cfRule>
    <cfRule type="notContainsBlanks" dxfId="5" priority="648">
      <formula>LEN(TRIM(E45))&gt;0</formula>
    </cfRule>
  </conditionalFormatting>
  <conditionalFormatting sqref="E46">
    <cfRule type="expression" dxfId="0" priority="664">
      <formula>COUNTIF(INDIRECT("Checklist!$A323"), "TRUE") = 1</formula>
    </cfRule>
    <cfRule type="expression" dxfId="1" priority="665">
      <formula>COUNTIF(INDIRECT("Checklist!$A323"), "FALSE") = 1</formula>
    </cfRule>
    <cfRule type="notContainsBlanks" dxfId="5" priority="666">
      <formula>LEN(TRIM(E46))&gt;0</formula>
    </cfRule>
  </conditionalFormatting>
  <conditionalFormatting sqref="E47">
    <cfRule type="expression" dxfId="0" priority="682">
      <formula>COUNTIF(INDIRECT("Checklist!$A329"), "TRUE") = 1</formula>
    </cfRule>
    <cfRule type="expression" dxfId="1" priority="683">
      <formula>COUNTIF(INDIRECT("Checklist!$A329"), "FALSE") = 1</formula>
    </cfRule>
    <cfRule type="notContainsBlanks" dxfId="5" priority="6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730">
      <formula>COUNTIF(INDIRECT("Checklist!$A365"), "TRUE") = 1</formula>
    </cfRule>
    <cfRule type="expression" dxfId="1" priority="731">
      <formula>COUNTIF(INDIRECT("Checklist!$A365"), "FALSE") = 1</formula>
    </cfRule>
    <cfRule type="notContainsBlanks" dxfId="5" priority="732">
      <formula>LEN(TRIM(E51))&gt;0</formula>
    </cfRule>
  </conditionalFormatting>
  <conditionalFormatting sqref="E52">
    <cfRule type="expression" dxfId="0" priority="748">
      <formula>COUNTIF(INDIRECT("Checklist!$A371"), "TRUE") = 1</formula>
    </cfRule>
    <cfRule type="expression" dxfId="1" priority="749">
      <formula>COUNTIF(INDIRECT("Checklist!$A371"), "FALSE") = 1</formula>
    </cfRule>
    <cfRule type="notContainsBlanks" dxfId="5" priority="750">
      <formula>LEN(TRIM(E52))&gt;0</formula>
    </cfRule>
  </conditionalFormatting>
  <conditionalFormatting sqref="E53">
    <cfRule type="expression" dxfId="0" priority="766">
      <formula>COUNTIF(INDIRECT("Checklist!$A377"), "TRUE") = 1</formula>
    </cfRule>
    <cfRule type="expression" dxfId="1" priority="767">
      <formula>COUNTIF(INDIRECT("Checklist!$A377"), "FALSE") = 1</formula>
    </cfRule>
    <cfRule type="notContainsBlanks" dxfId="5" priority="768">
      <formula>LEN(TRIM(E53))&gt;0</formula>
    </cfRule>
  </conditionalFormatting>
  <conditionalFormatting sqref="E54">
    <cfRule type="expression" dxfId="0" priority="784">
      <formula>COUNTIF(INDIRECT("Checklist!$A383"), "TRUE") = 1</formula>
    </cfRule>
    <cfRule type="expression" dxfId="1" priority="785">
      <formula>COUNTIF(INDIRECT("Checklist!$A383"), "FALSE") = 1</formula>
    </cfRule>
    <cfRule type="notContainsBlanks" dxfId="5" priority="786">
      <formula>LEN(TRIM(E54))&gt;0</formula>
    </cfRule>
  </conditionalFormatting>
  <conditionalFormatting sqref="E55">
    <cfRule type="expression" dxfId="0" priority="802">
      <formula>COUNTIF(INDIRECT("Checklist!$A389"), "TRUE") = 1</formula>
    </cfRule>
    <cfRule type="expression" dxfId="1" priority="803">
      <formula>COUNTIF(INDIRECT("Checklist!$A389"), "FALSE") = 1</formula>
    </cfRule>
    <cfRule type="notContainsBlanks" dxfId="5" priority="804">
      <formula>LEN(TRIM(E55))&gt;0</formula>
    </cfRule>
  </conditionalFormatting>
  <conditionalFormatting sqref="E59">
    <cfRule type="expression" dxfId="0" priority="850">
      <formula>COUNTIF(INDIRECT("Checklist!$A425"), "TRUE") = 1</formula>
    </cfRule>
    <cfRule type="expression" dxfId="1" priority="851">
      <formula>COUNTIF(INDIRECT("Checklist!$A425"), "FALSE") = 1</formula>
    </cfRule>
    <cfRule type="notContainsBlanks" dxfId="5" priority="85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868">
      <formula>COUNTIF(INDIRECT("Checklist!$A431"), "TRUE") = 1</formula>
    </cfRule>
    <cfRule type="expression" dxfId="1" priority="869">
      <formula>COUNTIF(INDIRECT("Checklist!$A431"), "FALSE") = 1</formula>
    </cfRule>
    <cfRule type="notContainsBlanks" dxfId="5" priority="870">
      <formula>LEN(TRIM(E60))&gt;0</formula>
    </cfRule>
  </conditionalFormatting>
  <conditionalFormatting sqref="E61">
    <cfRule type="expression" dxfId="0" priority="886">
      <formula>COUNTIF(INDIRECT("Checklist!$A437"), "TRUE") = 1</formula>
    </cfRule>
    <cfRule type="expression" dxfId="1" priority="887">
      <formula>COUNTIF(INDIRECT("Checklist!$A437"), "FALSE") = 1</formula>
    </cfRule>
    <cfRule type="notContainsBlanks" dxfId="5" priority="888">
      <formula>LEN(TRIM(E61))&gt;0</formula>
    </cfRule>
  </conditionalFormatting>
  <conditionalFormatting sqref="E62">
    <cfRule type="expression" dxfId="0" priority="904">
      <formula>COUNTIF(INDIRECT("Checklist!$A443"), "TRUE") = 1</formula>
    </cfRule>
    <cfRule type="expression" dxfId="1" priority="905">
      <formula>COUNTIF(INDIRECT("Checklist!$A443"), "FALSE") = 1</formula>
    </cfRule>
    <cfRule type="notContainsBlanks" dxfId="5" priority="906">
      <formula>LEN(TRIM(E62))&gt;0</formula>
    </cfRule>
  </conditionalFormatting>
  <conditionalFormatting sqref="E63">
    <cfRule type="expression" dxfId="0" priority="922">
      <formula>COUNTIF(INDIRECT("Checklist!$A449"), "TRUE") = 1</formula>
    </cfRule>
    <cfRule type="expression" dxfId="1" priority="923">
      <formula>COUNTIF(INDIRECT("Checklist!$A449"), "FALSE") = 1</formula>
    </cfRule>
    <cfRule type="notContainsBlanks" dxfId="5" priority="924">
      <formula>LEN(TRIM(E63))&gt;0</formula>
    </cfRule>
  </conditionalFormatting>
  <conditionalFormatting sqref="E67">
    <cfRule type="expression" dxfId="0" priority="970">
      <formula>COUNTIF(INDIRECT("Checklist!$A485"), "TRUE") = 1</formula>
    </cfRule>
    <cfRule type="expression" dxfId="1" priority="971">
      <formula>COUNTIF(INDIRECT("Checklist!$A485"), "FALSE") = 1</formula>
    </cfRule>
    <cfRule type="notContainsBlanks" dxfId="5" priority="972">
      <formula>LEN(TRIM(E67))&gt;0</formula>
    </cfRule>
  </conditionalFormatting>
  <conditionalFormatting sqref="E68">
    <cfRule type="expression" dxfId="0" priority="988">
      <formula>COUNTIF(INDIRECT("Checklist!$A491"), "TRUE") = 1</formula>
    </cfRule>
    <cfRule type="expression" dxfId="1" priority="989">
      <formula>COUNTIF(INDIRECT("Checklist!$A491"), "FALSE") = 1</formula>
    </cfRule>
    <cfRule type="notContainsBlanks" dxfId="5" priority="990">
      <formula>LEN(TRIM(E68))&gt;0</formula>
    </cfRule>
  </conditionalFormatting>
  <conditionalFormatting sqref="E69">
    <cfRule type="expression" dxfId="0" priority="1006">
      <formula>COUNTIF(INDIRECT("Checklist!$A497"), "TRUE") = 1</formula>
    </cfRule>
    <cfRule type="expression" dxfId="1" priority="1007">
      <formula>COUNTIF(INDIRECT("Checklist!$A497"), "FALSE") = 1</formula>
    </cfRule>
    <cfRule type="notContainsBlanks" dxfId="5" priority="100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024">
      <formula>COUNTIF(INDIRECT("Checklist!$A503"), "TRUE") = 1</formula>
    </cfRule>
    <cfRule type="expression" dxfId="1" priority="1025">
      <formula>COUNTIF(INDIRECT("Checklist!$A503"), "FALSE") = 1</formula>
    </cfRule>
    <cfRule type="notContainsBlanks" dxfId="5" priority="1026">
      <formula>LEN(TRIM(E70))&gt;0</formula>
    </cfRule>
  </conditionalFormatting>
  <conditionalFormatting sqref="E71">
    <cfRule type="expression" dxfId="0" priority="1042">
      <formula>COUNTIF(INDIRECT("Checklist!$A509"), "TRUE") = 1</formula>
    </cfRule>
    <cfRule type="expression" dxfId="1" priority="1043">
      <formula>COUNTIF(INDIRECT("Checklist!$A509"), "FALSE") = 1</formula>
    </cfRule>
    <cfRule type="notContainsBlanks" dxfId="5" priority="1044">
      <formula>LEN(TRIM(E71))&gt;0</formula>
    </cfRule>
  </conditionalFormatting>
  <conditionalFormatting sqref="E75">
    <cfRule type="expression" dxfId="0" priority="1090">
      <formula>COUNTIF(INDIRECT("Checklist!$A545"), "TRUE") = 1</formula>
    </cfRule>
    <cfRule type="expression" dxfId="1" priority="1091">
      <formula>COUNTIF(INDIRECT("Checklist!$A545"), "FALSE") = 1</formula>
    </cfRule>
    <cfRule type="notContainsBlanks" dxfId="5" priority="1092">
      <formula>LEN(TRIM(E75))&gt;0</formula>
    </cfRule>
  </conditionalFormatting>
  <conditionalFormatting sqref="E76">
    <cfRule type="expression" dxfId="0" priority="1108">
      <formula>COUNTIF(INDIRECT("Checklist!$None"), "TRUE") = 1</formula>
    </cfRule>
    <cfRule type="expression" dxfId="1" priority="1109">
      <formula>COUNTIF(INDIRECT("Checklist!$None"), "FALSE") = 1</formula>
    </cfRule>
    <cfRule type="notContainsBlanks" dxfId="5" priority="1110">
      <formula>LEN(TRIM(E76))&gt;0</formula>
    </cfRule>
  </conditionalFormatting>
  <conditionalFormatting sqref="E77">
    <cfRule type="expression" dxfId="0" priority="1126">
      <formula>COUNTIF(INDIRECT("Checklist!$A557"), "TRUE") = 1</formula>
    </cfRule>
    <cfRule type="expression" dxfId="1" priority="1127">
      <formula>COUNTIF(INDIRECT("Checklist!$A557"), "FALSE") = 1</formula>
    </cfRule>
    <cfRule type="notContainsBlanks" dxfId="5" priority="1128">
      <formula>LEN(TRIM(E77))&gt;0</formula>
    </cfRule>
  </conditionalFormatting>
  <conditionalFormatting sqref="E78">
    <cfRule type="expression" dxfId="0" priority="1144">
      <formula>COUNTIF(INDIRECT("Checklist!$A563"), "TRUE") = 1</formula>
    </cfRule>
    <cfRule type="expression" dxfId="1" priority="1145">
      <formula>COUNTIF(INDIRECT("Checklist!$A563"), "FALSE") = 1</formula>
    </cfRule>
    <cfRule type="notContainsBlanks" dxfId="5" priority="1146">
      <formula>LEN(TRIM(E78))&gt;0</formula>
    </cfRule>
  </conditionalFormatting>
  <conditionalFormatting sqref="E79">
    <cfRule type="expression" dxfId="0" priority="1162">
      <formula>COUNTIF(INDIRECT("Checklist!$A569"), "TRUE") = 1</formula>
    </cfRule>
    <cfRule type="expression" dxfId="1" priority="1163">
      <formula>COUNTIF(INDIRECT("Checklist!$A569"), "FALSE") = 1</formula>
    </cfRule>
    <cfRule type="notContainsBlanks" dxfId="5" priority="1164">
      <formula>LEN(TRIM(E79))&gt;0</formula>
    </cfRule>
  </conditionalFormatting>
  <conditionalFormatting sqref="E83">
    <cfRule type="expression" dxfId="0" priority="1210">
      <formula>COUNTIF(INDIRECT("Checklist!$A605"), "TRUE") = 1</formula>
    </cfRule>
    <cfRule type="expression" dxfId="1" priority="1211">
      <formula>COUNTIF(INDIRECT("Checklist!$A605"), "FALSE") = 1</formula>
    </cfRule>
    <cfRule type="notContainsBlanks" dxfId="5" priority="1212">
      <formula>LEN(TRIM(E83))&gt;0</formula>
    </cfRule>
  </conditionalFormatting>
  <conditionalFormatting sqref="E84">
    <cfRule type="expression" dxfId="0" priority="1228">
      <formula>COUNTIF(INDIRECT("Checklist!$A611"), "TRUE") = 1</formula>
    </cfRule>
    <cfRule type="expression" dxfId="1" priority="1229">
      <formula>COUNTIF(INDIRECT("Checklist!$A611"), "FALSE") = 1</formula>
    </cfRule>
    <cfRule type="notContainsBlanks" dxfId="5" priority="1230">
      <formula>LEN(TRIM(E84))&gt;0</formula>
    </cfRule>
  </conditionalFormatting>
  <conditionalFormatting sqref="E85">
    <cfRule type="expression" dxfId="0" priority="1246">
      <formula>COUNTIF(INDIRECT("Checklist!$A617"), "TRUE") = 1</formula>
    </cfRule>
    <cfRule type="expression" dxfId="1" priority="1247">
      <formula>COUNTIF(INDIRECT("Checklist!$A617"), "FALSE") = 1</formula>
    </cfRule>
    <cfRule type="notContainsBlanks" dxfId="5" priority="1248">
      <formula>LEN(TRIM(E85))&gt;0</formula>
    </cfRule>
  </conditionalFormatting>
  <conditionalFormatting sqref="E86">
    <cfRule type="expression" dxfId="0" priority="1264">
      <formula>COUNTIF(INDIRECT("Checklist!$A623"), "TRUE") = 1</formula>
    </cfRule>
    <cfRule type="expression" dxfId="1" priority="1265">
      <formula>COUNTIF(INDIRECT("Checklist!$A623"), "FALSE") = 1</formula>
    </cfRule>
    <cfRule type="notContainsBlanks" dxfId="5" priority="1266">
      <formula>LEN(TRIM(E86))&gt;0</formula>
    </cfRule>
  </conditionalFormatting>
  <conditionalFormatting sqref="E87">
    <cfRule type="expression" dxfId="0" priority="1282">
      <formula>COUNTIF(INDIRECT("Checklist!$A629"), "TRUE") = 1</formula>
    </cfRule>
    <cfRule type="expression" dxfId="1" priority="1283">
      <formula>COUNTIF(INDIRECT("Checklist!$A629"), "FALSE") = 1</formula>
    </cfRule>
    <cfRule type="notContainsBlanks" dxfId="5" priority="1284">
      <formula>LEN(TRIM(E87))&gt;0</formula>
    </cfRule>
  </conditionalFormatting>
  <conditionalFormatting sqref="E91">
    <cfRule type="expression" dxfId="0" priority="1330">
      <formula>COUNTIF(INDIRECT("Checklist!$A665"), "TRUE") = 1</formula>
    </cfRule>
    <cfRule type="expression" dxfId="1" priority="1331">
      <formula>COUNTIF(INDIRECT("Checklist!$A665"), "FALSE") = 1</formula>
    </cfRule>
    <cfRule type="notContainsBlanks" dxfId="5" priority="1332">
      <formula>LEN(TRIM(E91))&gt;0</formula>
    </cfRule>
  </conditionalFormatting>
  <conditionalFormatting sqref="E92">
    <cfRule type="expression" dxfId="0" priority="1348">
      <formula>COUNTIF(INDIRECT("Checklist!$A671"), "TRUE") = 1</formula>
    </cfRule>
    <cfRule type="expression" dxfId="1" priority="1349">
      <formula>COUNTIF(INDIRECT("Checklist!$A671"), "FALSE") = 1</formula>
    </cfRule>
    <cfRule type="notContainsBlanks" dxfId="5" priority="1350">
      <formula>LEN(TRIM(E92))&gt;0</formula>
    </cfRule>
  </conditionalFormatting>
  <conditionalFormatting sqref="E93">
    <cfRule type="expression" dxfId="0" priority="1366">
      <formula>COUNTIF(INDIRECT("Checklist!$A677"), "TRUE") = 1</formula>
    </cfRule>
    <cfRule type="expression" dxfId="1" priority="1367">
      <formula>COUNTIF(INDIRECT("Checklist!$A677"), "FALSE") = 1</formula>
    </cfRule>
    <cfRule type="notContainsBlanks" dxfId="5" priority="1368">
      <formula>LEN(TRIM(E93))&gt;0</formula>
    </cfRule>
  </conditionalFormatting>
  <conditionalFormatting sqref="E94">
    <cfRule type="expression" dxfId="0" priority="1384">
      <formula>COUNTIF(INDIRECT("Checklist!$A683"), "TRUE") = 1</formula>
    </cfRule>
    <cfRule type="expression" dxfId="1" priority="1385">
      <formula>COUNTIF(INDIRECT("Checklist!$A683"), "FALSE") = 1</formula>
    </cfRule>
    <cfRule type="notContainsBlanks" dxfId="5" priority="1386">
      <formula>LEN(TRIM(E94))&gt;0</formula>
    </cfRule>
  </conditionalFormatting>
  <conditionalFormatting sqref="E95">
    <cfRule type="expression" dxfId="0" priority="1402">
      <formula>COUNTIF(INDIRECT("Checklist!$A689"), "TRUE") = 1</formula>
    </cfRule>
    <cfRule type="expression" dxfId="1" priority="1403">
      <formula>COUNTIF(INDIRECT("Checklist!$A689"), "FALSE") = 1</formula>
    </cfRule>
    <cfRule type="notContainsBlanks" dxfId="5" priority="1404">
      <formula>LEN(TRIM(E95))&gt;0</formula>
    </cfRule>
  </conditionalFormatting>
  <conditionalFormatting sqref="E99">
    <cfRule type="expression" dxfId="0" priority="1450">
      <formula>COUNTIF(INDIRECT("Checklist!$A725"), "TRUE") = 1</formula>
    </cfRule>
    <cfRule type="expression" dxfId="1" priority="1451">
      <formula>COUNTIF(INDIRECT("Checklist!$A725"), "FALSE") = 1</formula>
    </cfRule>
    <cfRule type="notContainsBlanks" dxfId="5" priority="1452">
      <formula>LEN(TRIM(E99))&gt;0</formula>
    </cfRule>
  </conditionalFormatting>
  <conditionalFormatting sqref="F100">
    <cfRule type="expression" dxfId="0" priority="1471">
      <formula>COUNTIF(INDIRECT("Checklist!$A732"), "TRUE") = 1</formula>
    </cfRule>
    <cfRule type="expression" dxfId="1" priority="1472">
      <formula>COUNTIF(INDIRECT("Checklist!$A732"), "FALSE") = 1</formula>
    </cfRule>
    <cfRule type="notContainsBlanks" dxfId="5" priority="1473">
      <formula>LEN(TRIM(F100))&gt;0</formula>
    </cfRule>
  </conditionalFormatting>
  <conditionalFormatting sqref="F101">
    <cfRule type="expression" dxfId="0" priority="1489">
      <formula>COUNTIF(INDIRECT("Checklist!$A738"), "TRUE") = 1</formula>
    </cfRule>
    <cfRule type="expression" dxfId="1" priority="1490">
      <formula>COUNTIF(INDIRECT("Checklist!$A738"), "FALSE") = 1</formula>
    </cfRule>
    <cfRule type="notContainsBlanks" dxfId="5" priority="1491">
      <formula>LEN(TRIM(F101))&gt;0</formula>
    </cfRule>
  </conditionalFormatting>
  <conditionalFormatting sqref="F102">
    <cfRule type="expression" dxfId="0" priority="1507">
      <formula>COUNTIF(INDIRECT("Checklist!$A744"), "TRUE") = 1</formula>
    </cfRule>
    <cfRule type="expression" dxfId="1" priority="1508">
      <formula>COUNTIF(INDIRECT("Checklist!$A744"), "FALSE") = 1</formula>
    </cfRule>
    <cfRule type="notContainsBlanks" dxfId="5" priority="1509">
      <formula>LEN(TRIM(F102))&gt;0</formula>
    </cfRule>
  </conditionalFormatting>
  <conditionalFormatting sqref="F103">
    <cfRule type="expression" dxfId="0" priority="1525">
      <formula>COUNTIF(INDIRECT("Checklist!$A750"), "TRUE") = 1</formula>
    </cfRule>
    <cfRule type="expression" dxfId="1" priority="1526">
      <formula>COUNTIF(INDIRECT("Checklist!$A750"), "FALSE") = 1</formula>
    </cfRule>
    <cfRule type="notContainsBlanks" dxfId="5" priority="1527">
      <formula>LEN(TRIM(F103))&gt;0</formula>
    </cfRule>
  </conditionalFormatting>
  <conditionalFormatting sqref="F107">
    <cfRule type="expression" dxfId="0" priority="1573">
      <formula>COUNTIF(INDIRECT("Checklist!$None"), "TRUE") = 1</formula>
    </cfRule>
    <cfRule type="expression" dxfId="1" priority="1574">
      <formula>COUNTIF(INDIRECT("Checklist!$None"), "FALSE") = 1</formula>
    </cfRule>
    <cfRule type="notContainsBlanks" dxfId="5" priority="1575">
      <formula>LEN(TRIM(F107))&gt;0</formula>
    </cfRule>
  </conditionalFormatting>
  <conditionalFormatting sqref="F108">
    <cfRule type="expression" dxfId="0" priority="1591">
      <formula>COUNTIF(INDIRECT("Checklist!$A792"), "TRUE") = 1</formula>
    </cfRule>
    <cfRule type="expression" dxfId="1" priority="1592">
      <formula>COUNTIF(INDIRECT("Checklist!$A792"), "FALSE") = 1</formula>
    </cfRule>
    <cfRule type="notContainsBlanks" dxfId="5" priority="1593">
      <formula>LEN(TRIM(F108))&gt;0</formula>
    </cfRule>
  </conditionalFormatting>
  <conditionalFormatting sqref="F109">
    <cfRule type="expression" dxfId="0" priority="1609">
      <formula>COUNTIF(INDIRECT("Checklist!$A798"), "TRUE") = 1</formula>
    </cfRule>
    <cfRule type="expression" dxfId="1" priority="1610">
      <formula>COUNTIF(INDIRECT("Checklist!$A798"), "FALSE") = 1</formula>
    </cfRule>
    <cfRule type="notContainsBlanks" dxfId="5" priority="1611">
      <formula>LEN(TRIM(F109))&gt;0</formula>
    </cfRule>
  </conditionalFormatting>
  <conditionalFormatting sqref="F11">
    <cfRule type="expression" dxfId="0" priority="133">
      <formula>COUNTIF(INDIRECT("Checklist!$A66"), "TRUE") = 1</formula>
    </cfRule>
    <cfRule type="expression" dxfId="1" priority="134">
      <formula>COUNTIF(INDIRECT("Checklist!$A66"), "FALSE") = 1</formula>
    </cfRule>
    <cfRule type="notContainsBlanks" dxfId="5" priority="135">
      <formula>LEN(TRIM(F11))&gt;0</formula>
    </cfRule>
  </conditionalFormatting>
  <conditionalFormatting sqref="F110">
    <cfRule type="expression" dxfId="0" priority="1627">
      <formula>COUNTIF(INDIRECT("Checklist!$A804"), "TRUE") = 1</formula>
    </cfRule>
    <cfRule type="expression" dxfId="1" priority="1628">
      <formula>COUNTIF(INDIRECT("Checklist!$A804"), "FALSE") = 1</formula>
    </cfRule>
    <cfRule type="notContainsBlanks" dxfId="5" priority="1629">
      <formula>LEN(TRIM(F110))&gt;0</formula>
    </cfRule>
  </conditionalFormatting>
  <conditionalFormatting sqref="F111">
    <cfRule type="expression" dxfId="0" priority="1645">
      <formula>COUNTIF(INDIRECT("Checklist!$A810"), "TRUE") = 1</formula>
    </cfRule>
    <cfRule type="expression" dxfId="1" priority="1646">
      <formula>COUNTIF(INDIRECT("Checklist!$A810"), "FALSE") = 1</formula>
    </cfRule>
    <cfRule type="notContainsBlanks" dxfId="5" priority="1647">
      <formula>LEN(TRIM(F111))&gt;0</formula>
    </cfRule>
  </conditionalFormatting>
  <conditionalFormatting sqref="F115">
    <cfRule type="expression" dxfId="0" priority="1693">
      <formula>COUNTIF(INDIRECT("Checklist!$A846"), "TRUE") = 1</formula>
    </cfRule>
    <cfRule type="expression" dxfId="1" priority="1694">
      <formula>COUNTIF(INDIRECT("Checklist!$A846"), "FALSE") = 1</formula>
    </cfRule>
    <cfRule type="notContainsBlanks" dxfId="5" priority="1695">
      <formula>LEN(TRIM(F115))&gt;0</formula>
    </cfRule>
  </conditionalFormatting>
  <conditionalFormatting sqref="F116">
    <cfRule type="expression" dxfId="0" priority="1711">
      <formula>COUNTIF(INDIRECT("Checklist!$A852"), "TRUE") = 1</formula>
    </cfRule>
    <cfRule type="expression" dxfId="1" priority="1712">
      <formula>COUNTIF(INDIRECT("Checklist!$A852"), "FALSE") = 1</formula>
    </cfRule>
    <cfRule type="notContainsBlanks" dxfId="5" priority="1713">
      <formula>LEN(TRIM(F116))&gt;0</formula>
    </cfRule>
  </conditionalFormatting>
  <conditionalFormatting sqref="F117">
    <cfRule type="expression" dxfId="0" priority="1729">
      <formula>COUNTIF(INDIRECT("Checklist!$A858"), "TRUE") = 1</formula>
    </cfRule>
    <cfRule type="expression" dxfId="1" priority="1730">
      <formula>COUNTIF(INDIRECT("Checklist!$A858"), "FALSE") = 1</formula>
    </cfRule>
    <cfRule type="notContainsBlanks" dxfId="5" priority="1731">
      <formula>LEN(TRIM(F117))&gt;0</formula>
    </cfRule>
  </conditionalFormatting>
  <conditionalFormatting sqref="F118">
    <cfRule type="expression" dxfId="0" priority="1747">
      <formula>COUNTIF(INDIRECT("Checklist!$A864"), "TRUE") = 1</formula>
    </cfRule>
    <cfRule type="expression" dxfId="1" priority="1748">
      <formula>COUNTIF(INDIRECT("Checklist!$A864"), "FALSE") = 1</formula>
    </cfRule>
    <cfRule type="notContainsBlanks" dxfId="5" priority="1749">
      <formula>LEN(TRIM(F118))&gt;0</formula>
    </cfRule>
  </conditionalFormatting>
  <conditionalFormatting sqref="F119">
    <cfRule type="expression" dxfId="0" priority="1765">
      <formula>COUNTIF(INDIRECT("Checklist!$A870"), "TRUE") = 1</formula>
    </cfRule>
    <cfRule type="expression" dxfId="1" priority="1766">
      <formula>COUNTIF(INDIRECT("Checklist!$A870"), "FALSE") = 1</formula>
    </cfRule>
    <cfRule type="notContainsBlanks" dxfId="5" priority="1767">
      <formula>LEN(TRIM(F119))&gt;0</formula>
    </cfRule>
  </conditionalFormatting>
  <conditionalFormatting sqref="F12">
    <cfRule type="expression" dxfId="0" priority="151">
      <formula>COUNTIF(INDIRECT("Checklist!$A72"), "TRUE") = 1</formula>
    </cfRule>
    <cfRule type="expression" dxfId="1" priority="152">
      <formula>COUNTIF(INDIRECT("Checklist!$A72"), "FALSE") = 1</formula>
    </cfRule>
    <cfRule type="notContainsBlanks" dxfId="5" priority="153">
      <formula>LEN(TRIM(F12))&gt;0</formula>
    </cfRule>
  </conditionalFormatting>
  <conditionalFormatting sqref="F123">
    <cfRule type="expression" dxfId="0" priority="1813">
      <formula>COUNTIF(INDIRECT("Checklist!$None"), "TRUE") = 1</formula>
    </cfRule>
    <cfRule type="expression" dxfId="1" priority="1814">
      <formula>COUNTIF(INDIRECT("Checklist!$None"), "FALSE") = 1</formula>
    </cfRule>
    <cfRule type="notContainsBlanks" dxfId="5" priority="1815">
      <formula>LEN(TRIM(F123))&gt;0</formula>
    </cfRule>
  </conditionalFormatting>
  <conditionalFormatting sqref="F13">
    <cfRule type="expression" dxfId="0" priority="169">
      <formula>COUNTIF(INDIRECT("Checklist!$A78"), "TRUE") = 1</formula>
    </cfRule>
    <cfRule type="expression" dxfId="1" priority="170">
      <formula>COUNTIF(INDIRECT("Checklist!$A78"), "FALSE") = 1</formula>
    </cfRule>
    <cfRule type="notContainsBlanks" dxfId="5" priority="171">
      <formula>LEN(TRIM(F13))&gt;0</formula>
    </cfRule>
  </conditionalFormatting>
  <conditionalFormatting sqref="F131">
    <cfRule type="expression" dxfId="0" priority="1858">
      <formula>COUNTIF(INDIRECT("Checklist!$None"), "TRUE") = 1</formula>
    </cfRule>
    <cfRule type="expression" dxfId="1" priority="1859">
      <formula>COUNTIF(INDIRECT("Checklist!$None"), "FALSE") = 1</formula>
    </cfRule>
    <cfRule type="notContainsBlanks" dxfId="5" priority="1860">
      <formula>LEN(TRIM(F131))&gt;0</formula>
    </cfRule>
  </conditionalFormatting>
  <conditionalFormatting sqref="F132">
    <cfRule type="expression" dxfId="0" priority="1876">
      <formula>COUNTIF(INDIRECT("Checklist!$None"), "TRUE") = 1</formula>
    </cfRule>
    <cfRule type="expression" dxfId="1" priority="1877">
      <formula>COUNTIF(INDIRECT("Checklist!$None"), "FALSE") = 1</formula>
    </cfRule>
    <cfRule type="notContainsBlanks" dxfId="5" priority="1878">
      <formula>LEN(TRIM(F132))&gt;0</formula>
    </cfRule>
  </conditionalFormatting>
  <conditionalFormatting sqref="F133">
    <cfRule type="expression" dxfId="0" priority="1894">
      <formula>COUNTIF(INDIRECT("Checklist!$None"), "TRUE") = 1</formula>
    </cfRule>
    <cfRule type="expression" dxfId="1" priority="1895">
      <formula>COUNTIF(INDIRECT("Checklist!$None"), "FALSE") = 1</formula>
    </cfRule>
    <cfRule type="notContainsBlanks" dxfId="5" priority="1896">
      <formula>LEN(TRIM(F133))&gt;0</formula>
    </cfRule>
  </conditionalFormatting>
  <conditionalFormatting sqref="F134">
    <cfRule type="expression" dxfId="0" priority="1912">
      <formula>COUNTIF(INDIRECT("Checklist!$None"), "TRUE") = 1</formula>
    </cfRule>
    <cfRule type="expression" dxfId="1" priority="1913">
      <formula>COUNTIF(INDIRECT("Checklist!$None"), "FALSE") = 1</formula>
    </cfRule>
    <cfRule type="notContainsBlanks" dxfId="5" priority="1914">
      <formula>LEN(TRIM(F134))&gt;0</formula>
    </cfRule>
  </conditionalFormatting>
  <conditionalFormatting sqref="F135">
    <cfRule type="expression" dxfId="0" priority="1930">
      <formula>COUNTIF(INDIRECT("Checklist!$None"), "TRUE") = 1</formula>
    </cfRule>
    <cfRule type="expression" dxfId="1" priority="1931">
      <formula>COUNTIF(INDIRECT("Checklist!$None"), "FALSE") = 1</formula>
    </cfRule>
    <cfRule type="notContainsBlanks" dxfId="5" priority="1932">
      <formula>LEN(TRIM(F135))&gt;0</formula>
    </cfRule>
  </conditionalFormatting>
  <conditionalFormatting sqref="F139">
    <cfRule type="expression" dxfId="0" priority="1978">
      <formula>COUNTIF(INDIRECT("Checklist!$None"), "TRUE") = 1</formula>
    </cfRule>
    <cfRule type="expression" dxfId="1" priority="1979">
      <formula>COUNTIF(INDIRECT("Checklist!$None"), "FALSE") = 1</formula>
    </cfRule>
    <cfRule type="notContainsBlanks" dxfId="5" priority="1980">
      <formula>LEN(TRIM(F139))&gt;0</formula>
    </cfRule>
  </conditionalFormatting>
  <conditionalFormatting sqref="F14">
    <cfRule type="expression" dxfId="0" priority="187">
      <formula>COUNTIF(INDIRECT("Checklist!$A84"), "TRUE") = 1</formula>
    </cfRule>
    <cfRule type="expression" dxfId="1" priority="188">
      <formula>COUNTIF(INDIRECT("Checklist!$A84"), "FALSE") = 1</formula>
    </cfRule>
    <cfRule type="notContainsBlanks" dxfId="5" priority="189">
      <formula>LEN(TRIM(F14))&gt;0</formula>
    </cfRule>
  </conditionalFormatting>
  <conditionalFormatting sqref="F140">
    <cfRule type="expression" dxfId="0" priority="1996">
      <formula>COUNTIF(INDIRECT("Checklist!$None"), "TRUE") = 1</formula>
    </cfRule>
    <cfRule type="expression" dxfId="1" priority="1997">
      <formula>COUNTIF(INDIRECT("Checklist!$None"), "FALSE") = 1</formula>
    </cfRule>
    <cfRule type="notContainsBlanks" dxfId="5" priority="1998">
      <formula>LEN(TRIM(F140))&gt;0</formula>
    </cfRule>
  </conditionalFormatting>
  <conditionalFormatting sqref="F147">
    <cfRule type="expression" dxfId="0" priority="2023">
      <formula>COUNTIF(INDIRECT("Checklist!$None"), "TRUE") = 1</formula>
    </cfRule>
    <cfRule type="expression" dxfId="1" priority="2024">
      <formula>COUNTIF(INDIRECT("Checklist!$None"), "FALSE") = 1</formula>
    </cfRule>
    <cfRule type="notContainsBlanks" dxfId="5" priority="2025">
      <formula>LEN(TRIM(F147))&gt;0</formula>
    </cfRule>
  </conditionalFormatting>
  <conditionalFormatting sqref="F148">
    <cfRule type="expression" dxfId="0" priority="2041">
      <formula>COUNTIF(INDIRECT("Checklist!$None"), "TRUE") = 1</formula>
    </cfRule>
    <cfRule type="expression" dxfId="1" priority="2042">
      <formula>COUNTIF(INDIRECT("Checklist!$None"), "FALSE") = 1</formula>
    </cfRule>
    <cfRule type="notContainsBlanks" dxfId="5" priority="2043">
      <formula>LEN(TRIM(F148))&gt;0</formula>
    </cfRule>
  </conditionalFormatting>
  <conditionalFormatting sqref="F149">
    <cfRule type="expression" dxfId="0" priority="2059">
      <formula>COUNTIF(INDIRECT("Checklist!$None"), "TRUE") = 1</formula>
    </cfRule>
    <cfRule type="expression" dxfId="1" priority="2060">
      <formula>COUNTIF(INDIRECT("Checklist!$None"), "FALSE") = 1</formula>
    </cfRule>
    <cfRule type="notContainsBlanks" dxfId="5" priority="2061">
      <formula>LEN(TRIM(F149))&gt;0</formula>
    </cfRule>
  </conditionalFormatting>
  <conditionalFormatting sqref="F15">
    <cfRule type="expression" dxfId="0" priority="205">
      <formula>COUNTIF(INDIRECT("Checklist!$A90"), "TRUE") = 1</formula>
    </cfRule>
    <cfRule type="expression" dxfId="1" priority="206">
      <formula>COUNTIF(INDIRECT("Checklist!$A90"), "FALSE") = 1</formula>
    </cfRule>
    <cfRule type="notContainsBlanks" dxfId="5" priority="207">
      <formula>LEN(TRIM(F15))&gt;0</formula>
    </cfRule>
  </conditionalFormatting>
  <conditionalFormatting sqref="F150">
    <cfRule type="expression" dxfId="0" priority="2077">
      <formula>COUNTIF(INDIRECT("Checklist!$None"), "TRUE") = 1</formula>
    </cfRule>
    <cfRule type="expression" dxfId="1" priority="2078">
      <formula>COUNTIF(INDIRECT("Checklist!$None"), "FALSE") = 1</formula>
    </cfRule>
    <cfRule type="notContainsBlanks" dxfId="5" priority="2079">
      <formula>LEN(TRIM(F150))&gt;0</formula>
    </cfRule>
  </conditionalFormatting>
  <conditionalFormatting sqref="F155">
    <cfRule type="expression" dxfId="0" priority="2133">
      <formula>COUNTIF(INDIRECT("Checklist!$None"), "TRUE") = 1</formula>
    </cfRule>
    <cfRule type="expression" dxfId="1" priority="2134">
      <formula>COUNTIF(INDIRECT("Checklist!$None"), "FALSE") = 1</formula>
    </cfRule>
    <cfRule type="notContainsBlanks" dxfId="5" priority="2135">
      <formula>LEN(TRIM(F155))&gt;0</formula>
    </cfRule>
  </conditionalFormatting>
  <conditionalFormatting sqref="F156">
    <cfRule type="expression" dxfId="0" priority="2151">
      <formula>COUNTIF(INDIRECT("Checklist!$None"), "TRUE") = 1</formula>
    </cfRule>
    <cfRule type="expression" dxfId="1" priority="2152">
      <formula>COUNTIF(INDIRECT("Checklist!$None"), "FALSE") = 1</formula>
    </cfRule>
    <cfRule type="notContainsBlanks" dxfId="5" priority="2153">
      <formula>LEN(TRIM(F156))&gt;0</formula>
    </cfRule>
  </conditionalFormatting>
  <conditionalFormatting sqref="F157">
    <cfRule type="expression" dxfId="0" priority="2169">
      <formula>COUNTIF(INDIRECT("Checklist!$None"), "TRUE") = 1</formula>
    </cfRule>
    <cfRule type="expression" dxfId="1" priority="2170">
      <formula>COUNTIF(INDIRECT("Checklist!$None"), "FALSE") = 1</formula>
    </cfRule>
    <cfRule type="notContainsBlanks" dxfId="5" priority="2171">
      <formula>LEN(TRIM(F157))&gt;0</formula>
    </cfRule>
  </conditionalFormatting>
  <conditionalFormatting sqref="F158">
    <cfRule type="expression" dxfId="0" priority="2187">
      <formula>COUNTIF(INDIRECT("Checklist!$None"), "TRUE") = 1</formula>
    </cfRule>
    <cfRule type="expression" dxfId="1" priority="2188">
      <formula>COUNTIF(INDIRECT("Checklist!$None"), "FALSE") = 1</formula>
    </cfRule>
    <cfRule type="notContainsBlanks" dxfId="5" priority="2189">
      <formula>LEN(TRIM(F158))&gt;0</formula>
    </cfRule>
  </conditionalFormatting>
  <conditionalFormatting sqref="F163">
    <cfRule type="expression" dxfId="0" priority="2234">
      <formula>COUNTIF(INDIRECT("Checklist!$None"), "TRUE") = 1</formula>
    </cfRule>
    <cfRule type="expression" dxfId="1" priority="2235">
      <formula>COUNTIF(INDIRECT("Checklist!$None"), "FALSE") = 1</formula>
    </cfRule>
    <cfRule type="notContainsBlanks" dxfId="5" priority="2236">
      <formula>LEN(TRIM(F163))&gt;0</formula>
    </cfRule>
  </conditionalFormatting>
  <conditionalFormatting sqref="F164">
    <cfRule type="expression" dxfId="0" priority="2252">
      <formula>COUNTIF(INDIRECT("Checklist!$None"), "TRUE") = 1</formula>
    </cfRule>
    <cfRule type="expression" dxfId="1" priority="2253">
      <formula>COUNTIF(INDIRECT("Checklist!$None"), "FALSE") = 1</formula>
    </cfRule>
    <cfRule type="notContainsBlanks" dxfId="5" priority="2254">
      <formula>LEN(TRIM(F164))&gt;0</formula>
    </cfRule>
  </conditionalFormatting>
  <conditionalFormatting sqref="F165">
    <cfRule type="expression" dxfId="0" priority="2270">
      <formula>COUNTIF(INDIRECT("Checklist!$None"), "TRUE") = 1</formula>
    </cfRule>
    <cfRule type="expression" dxfId="1" priority="2271">
      <formula>COUNTIF(INDIRECT("Checklist!$None"), "FALSE") = 1</formula>
    </cfRule>
    <cfRule type="notContainsBlanks" dxfId="5" priority="2272">
      <formula>LEN(TRIM(F165))&gt;0</formula>
    </cfRule>
  </conditionalFormatting>
  <conditionalFormatting sqref="F166">
    <cfRule type="expression" dxfId="0" priority="2288">
      <formula>COUNTIF(INDIRECT("Checklist!$None"), "TRUE") = 1</formula>
    </cfRule>
    <cfRule type="expression" dxfId="1" priority="2289">
      <formula>COUNTIF(INDIRECT("Checklist!$None"), "FALSE") = 1</formula>
    </cfRule>
    <cfRule type="notContainsBlanks" dxfId="5" priority="2290">
      <formula>LEN(TRIM(F166))&gt;0</formula>
    </cfRule>
  </conditionalFormatting>
  <conditionalFormatting sqref="F167">
    <cfRule type="expression" dxfId="0" priority="2306">
      <formula>COUNTIF(INDIRECT("Checklist!$None"), "TRUE") = 1</formula>
    </cfRule>
    <cfRule type="expression" dxfId="1" priority="2307">
      <formula>COUNTIF(INDIRECT("Checklist!$None"), "FALSE") = 1</formula>
    </cfRule>
    <cfRule type="notContainsBlanks" dxfId="5" priority="2308">
      <formula>LEN(TRIM(F167))&gt;0</formula>
    </cfRule>
  </conditionalFormatting>
  <conditionalFormatting sqref="F171">
    <cfRule type="expression" dxfId="0" priority="2344">
      <formula>COUNTIF(INDIRECT("Checklist!$None"), "TRUE") = 1</formula>
    </cfRule>
    <cfRule type="expression" dxfId="1" priority="2345">
      <formula>COUNTIF(INDIRECT("Checklist!$None"), "FALSE") = 1</formula>
    </cfRule>
    <cfRule type="notContainsBlanks" dxfId="5" priority="2346">
      <formula>LEN(TRIM(F171))&gt;0</formula>
    </cfRule>
  </conditionalFormatting>
  <conditionalFormatting sqref="F172">
    <cfRule type="expression" dxfId="0" priority="2362">
      <formula>COUNTIF(INDIRECT("Checklist!$A1163"), "TRUE") = 1</formula>
    </cfRule>
    <cfRule type="expression" dxfId="1" priority="2363">
      <formula>COUNTIF(INDIRECT("Checklist!$A1163"), "FALSE") = 1</formula>
    </cfRule>
    <cfRule type="notContainsBlanks" dxfId="5" priority="2364">
      <formula>LEN(TRIM(F172))&gt;0</formula>
    </cfRule>
  </conditionalFormatting>
  <conditionalFormatting sqref="F173">
    <cfRule type="expression" dxfId="0" priority="2380">
      <formula>COUNTIF(INDIRECT("Checklist!$A1151"), "TRUE") = 1</formula>
    </cfRule>
    <cfRule type="expression" dxfId="1" priority="2381">
      <formula>COUNTIF(INDIRECT("Checklist!$A1151"), "FALSE") = 1</formula>
    </cfRule>
    <cfRule type="notContainsBlanks" dxfId="5" priority="2382">
      <formula>LEN(TRIM(F173))&gt;0</formula>
    </cfRule>
  </conditionalFormatting>
  <conditionalFormatting sqref="F179">
    <cfRule type="expression" dxfId="0" priority="2434">
      <formula>COUNTIF(INDIRECT("Checklist!$None"), "TRUE") = 1</formula>
    </cfRule>
    <cfRule type="expression" dxfId="1" priority="2435">
      <formula>COUNTIF(INDIRECT("Checklist!$None"), "FALSE") = 1</formula>
    </cfRule>
    <cfRule type="notContainsBlanks" dxfId="5" priority="2436">
      <formula>LEN(TRIM(F179))&gt;0</formula>
    </cfRule>
  </conditionalFormatting>
  <conditionalFormatting sqref="F180">
    <cfRule type="expression" dxfId="0" priority="2452">
      <formula>COUNTIF(INDIRECT("Checklist!$None"), "TRUE") = 1</formula>
    </cfRule>
    <cfRule type="expression" dxfId="1" priority="2453">
      <formula>COUNTIF(INDIRECT("Checklist!$None"), "FALSE") = 1</formula>
    </cfRule>
    <cfRule type="notContainsBlanks" dxfId="5" priority="2454">
      <formula>LEN(TRIM(F180))&gt;0</formula>
    </cfRule>
  </conditionalFormatting>
  <conditionalFormatting sqref="F181">
    <cfRule type="expression" dxfId="0" priority="2470">
      <formula>COUNTIF(INDIRECT("Checklist!$None"), "TRUE") = 1</formula>
    </cfRule>
    <cfRule type="expression" dxfId="1" priority="2471">
      <formula>COUNTIF(INDIRECT("Checklist!$None"), "FALSE") = 1</formula>
    </cfRule>
    <cfRule type="notContainsBlanks" dxfId="5" priority="2472">
      <formula>LEN(TRIM(F181))&gt;0</formula>
    </cfRule>
  </conditionalFormatting>
  <conditionalFormatting sqref="F182">
    <cfRule type="expression" dxfId="0" priority="2488">
      <formula>COUNTIF(INDIRECT("Checklist!$None"), "TRUE") = 1</formula>
    </cfRule>
    <cfRule type="expression" dxfId="1" priority="2489">
      <formula>COUNTIF(INDIRECT("Checklist!$None"), "FALSE") = 1</formula>
    </cfRule>
    <cfRule type="notContainsBlanks" dxfId="5" priority="2490">
      <formula>LEN(TRIM(F182))&gt;0</formula>
    </cfRule>
  </conditionalFormatting>
  <conditionalFormatting sqref="F187">
    <cfRule type="expression" dxfId="0" priority="2546">
      <formula>COUNTIF(INDIRECT("Checklist!$None"), "TRUE") = 1</formula>
    </cfRule>
    <cfRule type="expression" dxfId="1" priority="2547">
      <formula>COUNTIF(INDIRECT("Checklist!$None"), "FALSE") = 1</formula>
    </cfRule>
    <cfRule type="notContainsBlanks" dxfId="5" priority="2548">
      <formula>LEN(TRIM(F187))&gt;0</formula>
    </cfRule>
  </conditionalFormatting>
  <conditionalFormatting sqref="F19">
    <cfRule type="expression" dxfId="0" priority="253">
      <formula>COUNTIF(INDIRECT("Checklist!$A126"), "TRUE") = 1</formula>
    </cfRule>
    <cfRule type="expression" dxfId="1" priority="254">
      <formula>COUNTIF(INDIRECT("Checklist!$A126"), "FALSE") = 1</formula>
    </cfRule>
    <cfRule type="notContainsBlanks" dxfId="5" priority="255">
      <formula>LEN(TRIM(F19))&gt;0</formula>
    </cfRule>
  </conditionalFormatting>
  <conditionalFormatting sqref="F195">
    <cfRule type="expression" dxfId="0" priority="2597">
      <formula>COUNTIF(INDIRECT("Checklist!$A880"), "TRUE") = 1</formula>
    </cfRule>
    <cfRule type="expression" dxfId="1" priority="2598">
      <formula>COUNTIF(INDIRECT("Checklist!$A880"), "FALSE") = 1</formula>
    </cfRule>
    <cfRule type="notContainsBlanks" dxfId="5" priority="2599">
      <formula>LEN(TRIM(F195))&gt;0</formula>
    </cfRule>
  </conditionalFormatting>
  <conditionalFormatting sqref="F20">
    <cfRule type="expression" dxfId="0" priority="271">
      <formula>COUNTIF(INDIRECT("Checklist!$A132"), "TRUE") = 1</formula>
    </cfRule>
    <cfRule type="expression" dxfId="1" priority="272">
      <formula>COUNTIF(INDIRECT("Checklist!$A132"), "FALSE") = 1</formula>
    </cfRule>
    <cfRule type="notContainsBlanks" dxfId="5" priority="273">
      <formula>LEN(TRIM(F20))&gt;0</formula>
    </cfRule>
  </conditionalFormatting>
  <conditionalFormatting sqref="F203">
    <cfRule type="expression" dxfId="0" priority="2621">
      <formula>COUNTIF(INDIRECT("Checklist!$A1113"), "TRUE") = 1</formula>
    </cfRule>
    <cfRule type="expression" dxfId="1" priority="2622">
      <formula>COUNTIF(INDIRECT("Checklist!$A1113"), "FALSE") = 1</formula>
    </cfRule>
    <cfRule type="notContainsBlanks" dxfId="5" priority="2623">
      <formula>LEN(TRIM(F203))&gt;0</formula>
    </cfRule>
  </conditionalFormatting>
  <conditionalFormatting sqref="F204">
    <cfRule type="expression" dxfId="0" priority="2639">
      <formula>COUNTIF(INDIRECT("Checklist!$A1119"), "TRUE") = 1</formula>
    </cfRule>
    <cfRule type="expression" dxfId="1" priority="2640">
      <formula>COUNTIF(INDIRECT("Checklist!$A1119"), "FALSE") = 1</formula>
    </cfRule>
    <cfRule type="notContainsBlanks" dxfId="5" priority="2641">
      <formula>LEN(TRIM(F204))&gt;0</formula>
    </cfRule>
  </conditionalFormatting>
  <conditionalFormatting sqref="F205">
    <cfRule type="expression" dxfId="0" priority="2657">
      <formula>COUNTIF(INDIRECT("Checklist!$A1125"), "TRUE") = 1</formula>
    </cfRule>
    <cfRule type="expression" dxfId="1" priority="2658">
      <formula>COUNTIF(INDIRECT("Checklist!$A1125"), "FALSE") = 1</formula>
    </cfRule>
    <cfRule type="notContainsBlanks" dxfId="5" priority="2659">
      <formula>LEN(TRIM(F205))&gt;0</formula>
    </cfRule>
  </conditionalFormatting>
  <conditionalFormatting sqref="F21">
    <cfRule type="expression" dxfId="0" priority="289">
      <formula>COUNTIF(INDIRECT("Checklist!$A138"), "TRUE") = 1</formula>
    </cfRule>
    <cfRule type="expression" dxfId="1" priority="290">
      <formula>COUNTIF(INDIRECT("Checklist!$A138"), "FALSE") = 1</formula>
    </cfRule>
    <cfRule type="notContainsBlanks" dxfId="5" priority="291">
      <formula>LEN(TRIM(F21))&gt;0</formula>
    </cfRule>
  </conditionalFormatting>
  <conditionalFormatting sqref="F211">
    <cfRule type="expression" dxfId="0" priority="2694">
      <formula>COUNTIF(INDIRECT("Checklist!$A1244"), "TRUE") = 1</formula>
    </cfRule>
    <cfRule type="expression" dxfId="1" priority="2695">
      <formula>COUNTIF(INDIRECT("Checklist!$A1244"), "FALSE") = 1</formula>
    </cfRule>
    <cfRule type="notContainsBlanks" dxfId="5" priority="2696">
      <formula>LEN(TRIM(F211))&gt;0</formula>
    </cfRule>
  </conditionalFormatting>
  <conditionalFormatting sqref="F212">
    <cfRule type="expression" dxfId="0" priority="2712">
      <formula>COUNTIF(INDIRECT("Checklist!$A1249"), "TRUE") = 1</formula>
    </cfRule>
    <cfRule type="expression" dxfId="1" priority="2713">
      <formula>COUNTIF(INDIRECT("Checklist!$A1249"), "FALSE") = 1</formula>
    </cfRule>
    <cfRule type="notContainsBlanks" dxfId="5" priority="2714">
      <formula>LEN(TRIM(F212))&gt;0</formula>
    </cfRule>
  </conditionalFormatting>
  <conditionalFormatting sqref="F213">
    <cfRule type="expression" dxfId="0" priority="2730">
      <formula>COUNTIF(INDIRECT("Checklist!$A1255"), "TRUE") = 1</formula>
    </cfRule>
    <cfRule type="expression" dxfId="1" priority="2731">
      <formula>COUNTIF(INDIRECT("Checklist!$A1255"), "FALSE") = 1</formula>
    </cfRule>
    <cfRule type="notContainsBlanks" dxfId="5" priority="2732">
      <formula>LEN(TRIM(F213))&gt;0</formula>
    </cfRule>
  </conditionalFormatting>
  <conditionalFormatting sqref="F22">
    <cfRule type="expression" dxfId="0" priority="307">
      <formula>COUNTIF(INDIRECT("Checklist!$A144"), "TRUE") = 1</formula>
    </cfRule>
    <cfRule type="expression" dxfId="1" priority="308">
      <formula>COUNTIF(INDIRECT("Checklist!$A144"), "FALSE") = 1</formula>
    </cfRule>
    <cfRule type="notContainsBlanks" dxfId="5" priority="309">
      <formula>LEN(TRIM(F22))&gt;0</formula>
    </cfRule>
  </conditionalFormatting>
  <conditionalFormatting sqref="F23">
    <cfRule type="expression" dxfId="0" priority="325">
      <formula>COUNTIF(INDIRECT("Checklist!$A150"), "TRUE") = 1</formula>
    </cfRule>
    <cfRule type="expression" dxfId="1" priority="326">
      <formula>COUNTIF(INDIRECT("Checklist!$A150"), "FALSE") = 1</formula>
    </cfRule>
    <cfRule type="notContainsBlanks" dxfId="5" priority="327">
      <formula>LEN(TRIM(F23))&gt;0</formula>
    </cfRule>
  </conditionalFormatting>
  <conditionalFormatting sqref="F27">
    <cfRule type="expression" dxfId="0" priority="373">
      <formula>COUNTIF(INDIRECT("Checklist!$A186"), "TRUE") = 1</formula>
    </cfRule>
    <cfRule type="expression" dxfId="1" priority="374">
      <formula>COUNTIF(INDIRECT("Checklist!$A186"), "FALSE") = 1</formula>
    </cfRule>
    <cfRule type="notContainsBlanks" dxfId="5" priority="375">
      <formula>LEN(TRIM(F27))&gt;0</formula>
    </cfRule>
  </conditionalFormatting>
  <conditionalFormatting sqref="F28">
    <cfRule type="expression" dxfId="0" priority="391">
      <formula>COUNTIF(INDIRECT("Checklist!$A192"), "TRUE") = 1</formula>
    </cfRule>
    <cfRule type="expression" dxfId="1" priority="392">
      <formula>COUNTIF(INDIRECT("Checklist!$A192"), "FALSE") = 1</formula>
    </cfRule>
    <cfRule type="notContainsBlanks" dxfId="5" priority="393">
      <formula>LEN(TRIM(F28))&gt;0</formula>
    </cfRule>
  </conditionalFormatting>
  <conditionalFormatting sqref="F29">
    <cfRule type="expression" dxfId="0" priority="409">
      <formula>COUNTIF(INDIRECT("Checklist!$A198"), "TRUE") = 1</formula>
    </cfRule>
    <cfRule type="expression" dxfId="1" priority="410">
      <formula>COUNTIF(INDIRECT("Checklist!$A198"), "FALSE") = 1</formula>
    </cfRule>
    <cfRule type="notContainsBlanks" dxfId="5" priority="41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427">
      <formula>COUNTIF(INDIRECT("Checklist!$A204"), "TRUE") = 1</formula>
    </cfRule>
    <cfRule type="expression" dxfId="1" priority="428">
      <formula>COUNTIF(INDIRECT("Checklist!$A204"), "FALSE") = 1</formula>
    </cfRule>
    <cfRule type="notContainsBlanks" dxfId="5" priority="429">
      <formula>LEN(TRIM(F30))&gt;0</formula>
    </cfRule>
  </conditionalFormatting>
  <conditionalFormatting sqref="F31">
    <cfRule type="expression" dxfId="0" priority="445">
      <formula>COUNTIF(INDIRECT("Checklist!$A210"), "TRUE") = 1</formula>
    </cfRule>
    <cfRule type="expression" dxfId="1" priority="446">
      <formula>COUNTIF(INDIRECT("Checklist!$A210"), "FALSE") = 1</formula>
    </cfRule>
    <cfRule type="notContainsBlanks" dxfId="5" priority="447">
      <formula>LEN(TRIM(F31))&gt;0</formula>
    </cfRule>
  </conditionalFormatting>
  <conditionalFormatting sqref="F35">
    <cfRule type="expression" dxfId="0" priority="493">
      <formula>COUNTIF(INDIRECT("Checklist!$A246"), "TRUE") = 1</formula>
    </cfRule>
    <cfRule type="expression" dxfId="1" priority="494">
      <formula>COUNTIF(INDIRECT("Checklist!$A246"), "FALSE") = 1</formula>
    </cfRule>
    <cfRule type="notContainsBlanks" dxfId="5" priority="495">
      <formula>LEN(TRIM(F35))&gt;0</formula>
    </cfRule>
  </conditionalFormatting>
  <conditionalFormatting sqref="F36">
    <cfRule type="expression" dxfId="0" priority="511">
      <formula>COUNTIF(INDIRECT("Checklist!$A252"), "TRUE") = 1</formula>
    </cfRule>
    <cfRule type="expression" dxfId="1" priority="512">
      <formula>COUNTIF(INDIRECT("Checklist!$A252"), "FALSE") = 1</formula>
    </cfRule>
    <cfRule type="notContainsBlanks" dxfId="5" priority="513">
      <formula>LEN(TRIM(F36))&gt;0</formula>
    </cfRule>
  </conditionalFormatting>
  <conditionalFormatting sqref="F37">
    <cfRule type="expression" dxfId="0" priority="529">
      <formula>COUNTIF(INDIRECT("Checklist!$A258"), "TRUE") = 1</formula>
    </cfRule>
    <cfRule type="expression" dxfId="1" priority="530">
      <formula>COUNTIF(INDIRECT("Checklist!$A258"), "FALSE") = 1</formula>
    </cfRule>
    <cfRule type="notContainsBlanks" dxfId="5" priority="531">
      <formula>LEN(TRIM(F37))&gt;0</formula>
    </cfRule>
  </conditionalFormatting>
  <conditionalFormatting sqref="F38">
    <cfRule type="expression" dxfId="0" priority="547">
      <formula>COUNTIF(INDIRECT("Checklist!$A264"), "TRUE") = 1</formula>
    </cfRule>
    <cfRule type="expression" dxfId="1" priority="548">
      <formula>COUNTIF(INDIRECT("Checklist!$A264"), "FALSE") = 1</formula>
    </cfRule>
    <cfRule type="notContainsBlanks" dxfId="5" priority="549">
      <formula>LEN(TRIM(F38))&gt;0</formula>
    </cfRule>
  </conditionalFormatting>
  <conditionalFormatting sqref="F39">
    <cfRule type="expression" dxfId="0" priority="565">
      <formula>COUNTIF(INDIRECT("Checklist!$A270"), "TRUE") = 1</formula>
    </cfRule>
    <cfRule type="expression" dxfId="1" priority="566">
      <formula>COUNTIF(INDIRECT("Checklist!$A270"), "FALSE") = 1</formula>
    </cfRule>
    <cfRule type="notContainsBlanks" dxfId="5" priority="56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613">
      <formula>COUNTIF(INDIRECT("Checklist!$A306"), "TRUE") = 1</formula>
    </cfRule>
    <cfRule type="expression" dxfId="1" priority="614">
      <formula>COUNTIF(INDIRECT("Checklist!$A306"), "FALSE") = 1</formula>
    </cfRule>
    <cfRule type="notContainsBlanks" dxfId="5" priority="615">
      <formula>LEN(TRIM(F43))&gt;0</formula>
    </cfRule>
  </conditionalFormatting>
  <conditionalFormatting sqref="F44">
    <cfRule type="expression" dxfId="0" priority="631">
      <formula>COUNTIF(INDIRECT("Checklist!$A312"), "TRUE") = 1</formula>
    </cfRule>
    <cfRule type="expression" dxfId="1" priority="632">
      <formula>COUNTIF(INDIRECT("Checklist!$A312"), "FALSE") = 1</formula>
    </cfRule>
    <cfRule type="notContainsBlanks" dxfId="5" priority="633">
      <formula>LEN(TRIM(F44))&gt;0</formula>
    </cfRule>
  </conditionalFormatting>
  <conditionalFormatting sqref="F45">
    <cfRule type="expression" dxfId="0" priority="649">
      <formula>COUNTIF(INDIRECT("Checklist!$A318"), "TRUE") = 1</formula>
    </cfRule>
    <cfRule type="expression" dxfId="1" priority="650">
      <formula>COUNTIF(INDIRECT("Checklist!$A318"), "FALSE") = 1</formula>
    </cfRule>
    <cfRule type="notContainsBlanks" dxfId="5" priority="651">
      <formula>LEN(TRIM(F45))&gt;0</formula>
    </cfRule>
  </conditionalFormatting>
  <conditionalFormatting sqref="F46">
    <cfRule type="expression" dxfId="0" priority="667">
      <formula>COUNTIF(INDIRECT("Checklist!$A324"), "TRUE") = 1</formula>
    </cfRule>
    <cfRule type="expression" dxfId="1" priority="668">
      <formula>COUNTIF(INDIRECT("Checklist!$A324"), "FALSE") = 1</formula>
    </cfRule>
    <cfRule type="notContainsBlanks" dxfId="5" priority="669">
      <formula>LEN(TRIM(F46))&gt;0</formula>
    </cfRule>
  </conditionalFormatting>
  <conditionalFormatting sqref="F47">
    <cfRule type="expression" dxfId="0" priority="685">
      <formula>COUNTIF(INDIRECT("Checklist!$A330"), "TRUE") = 1</formula>
    </cfRule>
    <cfRule type="expression" dxfId="1" priority="686">
      <formula>COUNTIF(INDIRECT("Checklist!$A330"), "FALSE") = 1</formula>
    </cfRule>
    <cfRule type="notContainsBlanks" dxfId="5" priority="6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733">
      <formula>COUNTIF(INDIRECT("Checklist!$A366"), "TRUE") = 1</formula>
    </cfRule>
    <cfRule type="expression" dxfId="1" priority="734">
      <formula>COUNTIF(INDIRECT("Checklist!$A366"), "FALSE") = 1</formula>
    </cfRule>
    <cfRule type="notContainsBlanks" dxfId="5" priority="735">
      <formula>LEN(TRIM(F51))&gt;0</formula>
    </cfRule>
  </conditionalFormatting>
  <conditionalFormatting sqref="F52">
    <cfRule type="expression" dxfId="0" priority="751">
      <formula>COUNTIF(INDIRECT("Checklist!$A372"), "TRUE") = 1</formula>
    </cfRule>
    <cfRule type="expression" dxfId="1" priority="752">
      <formula>COUNTIF(INDIRECT("Checklist!$A372"), "FALSE") = 1</formula>
    </cfRule>
    <cfRule type="notContainsBlanks" dxfId="5" priority="753">
      <formula>LEN(TRIM(F52))&gt;0</formula>
    </cfRule>
  </conditionalFormatting>
  <conditionalFormatting sqref="F53">
    <cfRule type="expression" dxfId="0" priority="769">
      <formula>COUNTIF(INDIRECT("Checklist!$A378"), "TRUE") = 1</formula>
    </cfRule>
    <cfRule type="expression" dxfId="1" priority="770">
      <formula>COUNTIF(INDIRECT("Checklist!$A378"), "FALSE") = 1</formula>
    </cfRule>
    <cfRule type="notContainsBlanks" dxfId="5" priority="771">
      <formula>LEN(TRIM(F53))&gt;0</formula>
    </cfRule>
  </conditionalFormatting>
  <conditionalFormatting sqref="F54">
    <cfRule type="expression" dxfId="0" priority="787">
      <formula>COUNTIF(INDIRECT("Checklist!$A384"), "TRUE") = 1</formula>
    </cfRule>
    <cfRule type="expression" dxfId="1" priority="788">
      <formula>COUNTIF(INDIRECT("Checklist!$A384"), "FALSE") = 1</formula>
    </cfRule>
    <cfRule type="notContainsBlanks" dxfId="5" priority="789">
      <formula>LEN(TRIM(F54))&gt;0</formula>
    </cfRule>
  </conditionalFormatting>
  <conditionalFormatting sqref="F55">
    <cfRule type="expression" dxfId="0" priority="805">
      <formula>COUNTIF(INDIRECT("Checklist!$A390"), "TRUE") = 1</formula>
    </cfRule>
    <cfRule type="expression" dxfId="1" priority="806">
      <formula>COUNTIF(INDIRECT("Checklist!$A390"), "FALSE") = 1</formula>
    </cfRule>
    <cfRule type="notContainsBlanks" dxfId="5" priority="807">
      <formula>LEN(TRIM(F55))&gt;0</formula>
    </cfRule>
  </conditionalFormatting>
  <conditionalFormatting sqref="F59">
    <cfRule type="expression" dxfId="0" priority="853">
      <formula>COUNTIF(INDIRECT("Checklist!$A426"), "TRUE") = 1</formula>
    </cfRule>
    <cfRule type="expression" dxfId="1" priority="854">
      <formula>COUNTIF(INDIRECT("Checklist!$A426"), "FALSE") = 1</formula>
    </cfRule>
    <cfRule type="notContainsBlanks" dxfId="5" priority="85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871">
      <formula>COUNTIF(INDIRECT("Checklist!$A432"), "TRUE") = 1</formula>
    </cfRule>
    <cfRule type="expression" dxfId="1" priority="872">
      <formula>COUNTIF(INDIRECT("Checklist!$A432"), "FALSE") = 1</formula>
    </cfRule>
    <cfRule type="notContainsBlanks" dxfId="5" priority="873">
      <formula>LEN(TRIM(F60))&gt;0</formula>
    </cfRule>
  </conditionalFormatting>
  <conditionalFormatting sqref="F61">
    <cfRule type="expression" dxfId="0" priority="889">
      <formula>COUNTIF(INDIRECT("Checklist!$A438"), "TRUE") = 1</formula>
    </cfRule>
    <cfRule type="expression" dxfId="1" priority="890">
      <formula>COUNTIF(INDIRECT("Checklist!$A438"), "FALSE") = 1</formula>
    </cfRule>
    <cfRule type="notContainsBlanks" dxfId="5" priority="891">
      <formula>LEN(TRIM(F61))&gt;0</formula>
    </cfRule>
  </conditionalFormatting>
  <conditionalFormatting sqref="F62">
    <cfRule type="expression" dxfId="0" priority="907">
      <formula>COUNTIF(INDIRECT("Checklist!$A444"), "TRUE") = 1</formula>
    </cfRule>
    <cfRule type="expression" dxfId="1" priority="908">
      <formula>COUNTIF(INDIRECT("Checklist!$A444"), "FALSE") = 1</formula>
    </cfRule>
    <cfRule type="notContainsBlanks" dxfId="5" priority="909">
      <formula>LEN(TRIM(F62))&gt;0</formula>
    </cfRule>
  </conditionalFormatting>
  <conditionalFormatting sqref="F63">
    <cfRule type="expression" dxfId="0" priority="925">
      <formula>COUNTIF(INDIRECT("Checklist!$A450"), "TRUE") = 1</formula>
    </cfRule>
    <cfRule type="expression" dxfId="1" priority="926">
      <formula>COUNTIF(INDIRECT("Checklist!$A450"), "FALSE") = 1</formula>
    </cfRule>
    <cfRule type="notContainsBlanks" dxfId="5" priority="927">
      <formula>LEN(TRIM(F63))&gt;0</formula>
    </cfRule>
  </conditionalFormatting>
  <conditionalFormatting sqref="F67">
    <cfRule type="expression" dxfId="0" priority="973">
      <formula>COUNTIF(INDIRECT("Checklist!$A486"), "TRUE") = 1</formula>
    </cfRule>
    <cfRule type="expression" dxfId="1" priority="974">
      <formula>COUNTIF(INDIRECT("Checklist!$A486"), "FALSE") = 1</formula>
    </cfRule>
    <cfRule type="notContainsBlanks" dxfId="5" priority="975">
      <formula>LEN(TRIM(F67))&gt;0</formula>
    </cfRule>
  </conditionalFormatting>
  <conditionalFormatting sqref="F68">
    <cfRule type="expression" dxfId="0" priority="991">
      <formula>COUNTIF(INDIRECT("Checklist!$A492"), "TRUE") = 1</formula>
    </cfRule>
    <cfRule type="expression" dxfId="1" priority="992">
      <formula>COUNTIF(INDIRECT("Checklist!$A492"), "FALSE") = 1</formula>
    </cfRule>
    <cfRule type="notContainsBlanks" dxfId="5" priority="993">
      <formula>LEN(TRIM(F68))&gt;0</formula>
    </cfRule>
  </conditionalFormatting>
  <conditionalFormatting sqref="F69">
    <cfRule type="expression" dxfId="0" priority="1009">
      <formula>COUNTIF(INDIRECT("Checklist!$A498"), "TRUE") = 1</formula>
    </cfRule>
    <cfRule type="expression" dxfId="1" priority="1010">
      <formula>COUNTIF(INDIRECT("Checklist!$A498"), "FALSE") = 1</formula>
    </cfRule>
    <cfRule type="notContainsBlanks" dxfId="5" priority="1011">
      <formula>LEN(TRIM(F69))&gt;0</formula>
    </cfRule>
  </conditionalFormatting>
  <conditionalFormatting sqref="F7">
    <cfRule type="expression" dxfId="0" priority="85">
      <formula>COUNTIF(INDIRECT("Checklist!$None"), "TRUE") = 1</formula>
    </cfRule>
    <cfRule type="expression" dxfId="1" priority="86">
      <formula>COUNTIF(INDIRECT("Checklist!$None"), "FALSE") = 1</formula>
    </cfRule>
    <cfRule type="notContainsBlanks" dxfId="5" priority="87">
      <formula>LEN(TRIM(F7))&gt;0</formula>
    </cfRule>
  </conditionalFormatting>
  <conditionalFormatting sqref="F70">
    <cfRule type="expression" dxfId="0" priority="1027">
      <formula>COUNTIF(INDIRECT("Checklist!$A504"), "TRUE") = 1</formula>
    </cfRule>
    <cfRule type="expression" dxfId="1" priority="1028">
      <formula>COUNTIF(INDIRECT("Checklist!$A504"), "FALSE") = 1</formula>
    </cfRule>
    <cfRule type="notContainsBlanks" dxfId="5" priority="1029">
      <formula>LEN(TRIM(F70))&gt;0</formula>
    </cfRule>
  </conditionalFormatting>
  <conditionalFormatting sqref="F71">
    <cfRule type="expression" dxfId="0" priority="1045">
      <formula>COUNTIF(INDIRECT("Checklist!$A510"), "TRUE") = 1</formula>
    </cfRule>
    <cfRule type="expression" dxfId="1" priority="1046">
      <formula>COUNTIF(INDIRECT("Checklist!$A510"), "FALSE") = 1</formula>
    </cfRule>
    <cfRule type="notContainsBlanks" dxfId="5" priority="1047">
      <formula>LEN(TRIM(F71))&gt;0</formula>
    </cfRule>
  </conditionalFormatting>
  <conditionalFormatting sqref="F75">
    <cfRule type="expression" dxfId="0" priority="1093">
      <formula>COUNTIF(INDIRECT("Checklist!$A546"), "TRUE") = 1</formula>
    </cfRule>
    <cfRule type="expression" dxfId="1" priority="1094">
      <formula>COUNTIF(INDIRECT("Checklist!$A546"), "FALSE") = 1</formula>
    </cfRule>
    <cfRule type="notContainsBlanks" dxfId="5" priority="1095">
      <formula>LEN(TRIM(F75))&gt;0</formula>
    </cfRule>
  </conditionalFormatting>
  <conditionalFormatting sqref="F76">
    <cfRule type="expression" dxfId="0" priority="1111">
      <formula>COUNTIF(INDIRECT("Checklist!$A552"), "TRUE") = 1</formula>
    </cfRule>
    <cfRule type="expression" dxfId="1" priority="1112">
      <formula>COUNTIF(INDIRECT("Checklist!$A552"), "FALSE") = 1</formula>
    </cfRule>
    <cfRule type="notContainsBlanks" dxfId="5" priority="1113">
      <formula>LEN(TRIM(F76))&gt;0</formula>
    </cfRule>
  </conditionalFormatting>
  <conditionalFormatting sqref="F77">
    <cfRule type="expression" dxfId="0" priority="1129">
      <formula>COUNTIF(INDIRECT("Checklist!$A558"), "TRUE") = 1</formula>
    </cfRule>
    <cfRule type="expression" dxfId="1" priority="1130">
      <formula>COUNTIF(INDIRECT("Checklist!$A558"), "FALSE") = 1</formula>
    </cfRule>
    <cfRule type="notContainsBlanks" dxfId="5" priority="1131">
      <formula>LEN(TRIM(F77))&gt;0</formula>
    </cfRule>
  </conditionalFormatting>
  <conditionalFormatting sqref="F78">
    <cfRule type="expression" dxfId="0" priority="1147">
      <formula>COUNTIF(INDIRECT("Checklist!$A564"), "TRUE") = 1</formula>
    </cfRule>
    <cfRule type="expression" dxfId="1" priority="1148">
      <formula>COUNTIF(INDIRECT("Checklist!$A564"), "FALSE") = 1</formula>
    </cfRule>
    <cfRule type="notContainsBlanks" dxfId="5" priority="1149">
      <formula>LEN(TRIM(F78))&gt;0</formula>
    </cfRule>
  </conditionalFormatting>
  <conditionalFormatting sqref="F79">
    <cfRule type="expression" dxfId="0" priority="1165">
      <formula>COUNTIF(INDIRECT("Checklist!$A570"), "TRUE") = 1</formula>
    </cfRule>
    <cfRule type="expression" dxfId="1" priority="1166">
      <formula>COUNTIF(INDIRECT("Checklist!$A570"), "FALSE") = 1</formula>
    </cfRule>
    <cfRule type="notContainsBlanks" dxfId="5" priority="1167">
      <formula>LEN(TRIM(F79))&gt;0</formula>
    </cfRule>
  </conditionalFormatting>
  <conditionalFormatting sqref="F83">
    <cfRule type="expression" dxfId="0" priority="1213">
      <formula>COUNTIF(INDIRECT("Checklist!$A606"), "TRUE") = 1</formula>
    </cfRule>
    <cfRule type="expression" dxfId="1" priority="1214">
      <formula>COUNTIF(INDIRECT("Checklist!$A606"), "FALSE") = 1</formula>
    </cfRule>
    <cfRule type="notContainsBlanks" dxfId="5" priority="1215">
      <formula>LEN(TRIM(F83))&gt;0</formula>
    </cfRule>
  </conditionalFormatting>
  <conditionalFormatting sqref="F84">
    <cfRule type="expression" dxfId="0" priority="1231">
      <formula>COUNTIF(INDIRECT("Checklist!$A612"), "TRUE") = 1</formula>
    </cfRule>
    <cfRule type="expression" dxfId="1" priority="1232">
      <formula>COUNTIF(INDIRECT("Checklist!$A612"), "FALSE") = 1</formula>
    </cfRule>
    <cfRule type="notContainsBlanks" dxfId="5" priority="1233">
      <formula>LEN(TRIM(F84))&gt;0</formula>
    </cfRule>
  </conditionalFormatting>
  <conditionalFormatting sqref="F85">
    <cfRule type="expression" dxfId="0" priority="1249">
      <formula>COUNTIF(INDIRECT("Checklist!$A618"), "TRUE") = 1</formula>
    </cfRule>
    <cfRule type="expression" dxfId="1" priority="1250">
      <formula>COUNTIF(INDIRECT("Checklist!$A618"), "FALSE") = 1</formula>
    </cfRule>
    <cfRule type="notContainsBlanks" dxfId="5" priority="1251">
      <formula>LEN(TRIM(F85))&gt;0</formula>
    </cfRule>
  </conditionalFormatting>
  <conditionalFormatting sqref="F86">
    <cfRule type="expression" dxfId="0" priority="1267">
      <formula>COUNTIF(INDIRECT("Checklist!$A624"), "TRUE") = 1</formula>
    </cfRule>
    <cfRule type="expression" dxfId="1" priority="1268">
      <formula>COUNTIF(INDIRECT("Checklist!$A624"), "FALSE") = 1</formula>
    </cfRule>
    <cfRule type="notContainsBlanks" dxfId="5" priority="1269">
      <formula>LEN(TRIM(F86))&gt;0</formula>
    </cfRule>
  </conditionalFormatting>
  <conditionalFormatting sqref="F87">
    <cfRule type="expression" dxfId="0" priority="1285">
      <formula>COUNTIF(INDIRECT("Checklist!$A630"), "TRUE") = 1</formula>
    </cfRule>
    <cfRule type="expression" dxfId="1" priority="1286">
      <formula>COUNTIF(INDIRECT("Checklist!$A630"), "FALSE") = 1</formula>
    </cfRule>
    <cfRule type="notContainsBlanks" dxfId="5" priority="1287">
      <formula>LEN(TRIM(F87))&gt;0</formula>
    </cfRule>
  </conditionalFormatting>
  <conditionalFormatting sqref="F91">
    <cfRule type="expression" dxfId="0" priority="1333">
      <formula>COUNTIF(INDIRECT("Checklist!$A666"), "TRUE") = 1</formula>
    </cfRule>
    <cfRule type="expression" dxfId="1" priority="1334">
      <formula>COUNTIF(INDIRECT("Checklist!$A666"), "FALSE") = 1</formula>
    </cfRule>
    <cfRule type="notContainsBlanks" dxfId="5" priority="1335">
      <formula>LEN(TRIM(F91))&gt;0</formula>
    </cfRule>
  </conditionalFormatting>
  <conditionalFormatting sqref="F92">
    <cfRule type="expression" dxfId="0" priority="1351">
      <formula>COUNTIF(INDIRECT("Checklist!$A672"), "TRUE") = 1</formula>
    </cfRule>
    <cfRule type="expression" dxfId="1" priority="1352">
      <formula>COUNTIF(INDIRECT("Checklist!$A672"), "FALSE") = 1</formula>
    </cfRule>
    <cfRule type="notContainsBlanks" dxfId="5" priority="1353">
      <formula>LEN(TRIM(F92))&gt;0</formula>
    </cfRule>
  </conditionalFormatting>
  <conditionalFormatting sqref="F93">
    <cfRule type="expression" dxfId="0" priority="1369">
      <formula>COUNTIF(INDIRECT("Checklist!$A678"), "TRUE") = 1</formula>
    </cfRule>
    <cfRule type="expression" dxfId="1" priority="1370">
      <formula>COUNTIF(INDIRECT("Checklist!$A678"), "FALSE") = 1</formula>
    </cfRule>
    <cfRule type="notContainsBlanks" dxfId="5" priority="1371">
      <formula>LEN(TRIM(F93))&gt;0</formula>
    </cfRule>
  </conditionalFormatting>
  <conditionalFormatting sqref="F94">
    <cfRule type="expression" dxfId="0" priority="1387">
      <formula>COUNTIF(INDIRECT("Checklist!$A684"), "TRUE") = 1</formula>
    </cfRule>
    <cfRule type="expression" dxfId="1" priority="1388">
      <formula>COUNTIF(INDIRECT("Checklist!$A684"), "FALSE") = 1</formula>
    </cfRule>
    <cfRule type="notContainsBlanks" dxfId="5" priority="1389">
      <formula>LEN(TRIM(F94))&gt;0</formula>
    </cfRule>
  </conditionalFormatting>
  <conditionalFormatting sqref="F95">
    <cfRule type="expression" dxfId="0" priority="1405">
      <formula>COUNTIF(INDIRECT("Checklist!$A690"), "TRUE") = 1</formula>
    </cfRule>
    <cfRule type="expression" dxfId="1" priority="1406">
      <formula>COUNTIF(INDIRECT("Checklist!$A690"), "FALSE") = 1</formula>
    </cfRule>
    <cfRule type="notContainsBlanks" dxfId="5" priority="1407">
      <formula>LEN(TRIM(F95))&gt;0</formula>
    </cfRule>
  </conditionalFormatting>
  <conditionalFormatting sqref="F99">
    <cfRule type="expression" dxfId="0" priority="1453">
      <formula>COUNTIF(INDIRECT("Checklist!$A726"), "TRUE") = 1</formula>
    </cfRule>
    <cfRule type="expression" dxfId="1" priority="1454">
      <formula>COUNTIF(INDIRECT("Checklist!$A726"), "FALSE") = 1</formula>
    </cfRule>
    <cfRule type="notContainsBlanks" dxfId="5" priority="1455">
      <formula>LEN(TRIM(F99))&gt;0</formula>
    </cfRule>
  </conditionalFormatting>
  <conditionalFormatting sqref="G100">
    <cfRule type="expression" dxfId="0" priority="1474">
      <formula>COUNTIF(INDIRECT("Checklist!$A733"), "TRUE") = 1</formula>
    </cfRule>
    <cfRule type="expression" dxfId="1" priority="1475">
      <formula>COUNTIF(INDIRECT("Checklist!$A733"), "FALSE") = 1</formula>
    </cfRule>
    <cfRule type="notContainsBlanks" dxfId="5" priority="1476">
      <formula>LEN(TRIM(G100))&gt;0</formula>
    </cfRule>
  </conditionalFormatting>
  <conditionalFormatting sqref="G101">
    <cfRule type="expression" dxfId="0" priority="1492">
      <formula>COUNTIF(INDIRECT("Checklist!$A739"), "TRUE") = 1</formula>
    </cfRule>
    <cfRule type="expression" dxfId="1" priority="1493">
      <formula>COUNTIF(INDIRECT("Checklist!$A739"), "FALSE") = 1</formula>
    </cfRule>
    <cfRule type="notContainsBlanks" dxfId="5" priority="1494">
      <formula>LEN(TRIM(G101))&gt;0</formula>
    </cfRule>
  </conditionalFormatting>
  <conditionalFormatting sqref="G102">
    <cfRule type="expression" dxfId="0" priority="1510">
      <formula>COUNTIF(INDIRECT("Checklist!$A745"), "TRUE") = 1</formula>
    </cfRule>
    <cfRule type="expression" dxfId="1" priority="1511">
      <formula>COUNTIF(INDIRECT("Checklist!$A745"), "FALSE") = 1</formula>
    </cfRule>
    <cfRule type="notContainsBlanks" dxfId="5" priority="1512">
      <formula>LEN(TRIM(G102))&gt;0</formula>
    </cfRule>
  </conditionalFormatting>
  <conditionalFormatting sqref="G103">
    <cfRule type="expression" dxfId="0" priority="1528">
      <formula>COUNTIF(INDIRECT("Checklist!$A751"), "TRUE") = 1</formula>
    </cfRule>
    <cfRule type="expression" dxfId="1" priority="1529">
      <formula>COUNTIF(INDIRECT("Checklist!$A751"), "FALSE") = 1</formula>
    </cfRule>
    <cfRule type="notContainsBlanks" dxfId="5" priority="1530">
      <formula>LEN(TRIM(G103))&gt;0</formula>
    </cfRule>
  </conditionalFormatting>
  <conditionalFormatting sqref="G107">
    <cfRule type="expression" dxfId="0" priority="1576">
      <formula>COUNTIF(INDIRECT("Checklist!$None"), "TRUE") = 1</formula>
    </cfRule>
    <cfRule type="expression" dxfId="1" priority="1577">
      <formula>COUNTIF(INDIRECT("Checklist!$None"), "FALSE") = 1</formula>
    </cfRule>
    <cfRule type="notContainsBlanks" dxfId="5" priority="1578">
      <formula>LEN(TRIM(G107))&gt;0</formula>
    </cfRule>
  </conditionalFormatting>
  <conditionalFormatting sqref="G108">
    <cfRule type="expression" dxfId="0" priority="1594">
      <formula>COUNTIF(INDIRECT("Checklist!$A793"), "TRUE") = 1</formula>
    </cfRule>
    <cfRule type="expression" dxfId="1" priority="1595">
      <formula>COUNTIF(INDIRECT("Checklist!$A793"), "FALSE") = 1</formula>
    </cfRule>
    <cfRule type="notContainsBlanks" dxfId="5" priority="1596">
      <formula>LEN(TRIM(G108))&gt;0</formula>
    </cfRule>
  </conditionalFormatting>
  <conditionalFormatting sqref="G109">
    <cfRule type="expression" dxfId="0" priority="1612">
      <formula>COUNTIF(INDIRECT("Checklist!$A799"), "TRUE") = 1</formula>
    </cfRule>
    <cfRule type="expression" dxfId="1" priority="1613">
      <formula>COUNTIF(INDIRECT("Checklist!$A799"), "FALSE") = 1</formula>
    </cfRule>
    <cfRule type="notContainsBlanks" dxfId="5" priority="1614">
      <formula>LEN(TRIM(G109))&gt;0</formula>
    </cfRule>
  </conditionalFormatting>
  <conditionalFormatting sqref="G11">
    <cfRule type="expression" dxfId="0" priority="136">
      <formula>COUNTIF(INDIRECT("Checklist!$A67"), "TRUE") = 1</formula>
    </cfRule>
    <cfRule type="expression" dxfId="1" priority="137">
      <formula>COUNTIF(INDIRECT("Checklist!$A67"), "FALSE") = 1</formula>
    </cfRule>
    <cfRule type="notContainsBlanks" dxfId="5" priority="138">
      <formula>LEN(TRIM(G11))&gt;0</formula>
    </cfRule>
  </conditionalFormatting>
  <conditionalFormatting sqref="G110">
    <cfRule type="expression" dxfId="0" priority="1630">
      <formula>COUNTIF(INDIRECT("Checklist!$A805"), "TRUE") = 1</formula>
    </cfRule>
    <cfRule type="expression" dxfId="1" priority="1631">
      <formula>COUNTIF(INDIRECT("Checklist!$A805"), "FALSE") = 1</formula>
    </cfRule>
    <cfRule type="notContainsBlanks" dxfId="5" priority="1632">
      <formula>LEN(TRIM(G110))&gt;0</formula>
    </cfRule>
  </conditionalFormatting>
  <conditionalFormatting sqref="G111">
    <cfRule type="expression" dxfId="0" priority="1648">
      <formula>COUNTIF(INDIRECT("Checklist!$A811"), "TRUE") = 1</formula>
    </cfRule>
    <cfRule type="expression" dxfId="1" priority="1649">
      <formula>COUNTIF(INDIRECT("Checklist!$A811"), "FALSE") = 1</formula>
    </cfRule>
    <cfRule type="notContainsBlanks" dxfId="5" priority="1650">
      <formula>LEN(TRIM(G111))&gt;0</formula>
    </cfRule>
  </conditionalFormatting>
  <conditionalFormatting sqref="G115">
    <cfRule type="expression" dxfId="0" priority="1696">
      <formula>COUNTIF(INDIRECT("Checklist!$A847"), "TRUE") = 1</formula>
    </cfRule>
    <cfRule type="expression" dxfId="1" priority="1697">
      <formula>COUNTIF(INDIRECT("Checklist!$A847"), "FALSE") = 1</formula>
    </cfRule>
    <cfRule type="notContainsBlanks" dxfId="5" priority="1698">
      <formula>LEN(TRIM(G115))&gt;0</formula>
    </cfRule>
  </conditionalFormatting>
  <conditionalFormatting sqref="G116">
    <cfRule type="expression" dxfId="0" priority="1714">
      <formula>COUNTIF(INDIRECT("Checklist!$A853"), "TRUE") = 1</formula>
    </cfRule>
    <cfRule type="expression" dxfId="1" priority="1715">
      <formula>COUNTIF(INDIRECT("Checklist!$A853"), "FALSE") = 1</formula>
    </cfRule>
    <cfRule type="notContainsBlanks" dxfId="5" priority="1716">
      <formula>LEN(TRIM(G116))&gt;0</formula>
    </cfRule>
  </conditionalFormatting>
  <conditionalFormatting sqref="G117">
    <cfRule type="expression" dxfId="0" priority="1732">
      <formula>COUNTIF(INDIRECT("Checklist!$A859"), "TRUE") = 1</formula>
    </cfRule>
    <cfRule type="expression" dxfId="1" priority="1733">
      <formula>COUNTIF(INDIRECT("Checklist!$A859"), "FALSE") = 1</formula>
    </cfRule>
    <cfRule type="notContainsBlanks" dxfId="5" priority="1734">
      <formula>LEN(TRIM(G117))&gt;0</formula>
    </cfRule>
  </conditionalFormatting>
  <conditionalFormatting sqref="G118">
    <cfRule type="expression" dxfId="0" priority="1750">
      <formula>COUNTIF(INDIRECT("Checklist!$A865"), "TRUE") = 1</formula>
    </cfRule>
    <cfRule type="expression" dxfId="1" priority="1751">
      <formula>COUNTIF(INDIRECT("Checklist!$A865"), "FALSE") = 1</formula>
    </cfRule>
    <cfRule type="notContainsBlanks" dxfId="5" priority="1752">
      <formula>LEN(TRIM(G118))&gt;0</formula>
    </cfRule>
  </conditionalFormatting>
  <conditionalFormatting sqref="G119">
    <cfRule type="expression" dxfId="0" priority="1768">
      <formula>COUNTIF(INDIRECT("Checklist!$A871"), "TRUE") = 1</formula>
    </cfRule>
    <cfRule type="expression" dxfId="1" priority="1769">
      <formula>COUNTIF(INDIRECT("Checklist!$A871"), "FALSE") = 1</formula>
    </cfRule>
    <cfRule type="notContainsBlanks" dxfId="5" priority="1770">
      <formula>LEN(TRIM(G119))&gt;0</formula>
    </cfRule>
  </conditionalFormatting>
  <conditionalFormatting sqref="G12">
    <cfRule type="expression" dxfId="0" priority="154">
      <formula>COUNTIF(INDIRECT("Checklist!$A73"), "TRUE") = 1</formula>
    </cfRule>
    <cfRule type="expression" dxfId="1" priority="155">
      <formula>COUNTIF(INDIRECT("Checklist!$A73"), "FALSE") = 1</formula>
    </cfRule>
    <cfRule type="notContainsBlanks" dxfId="5" priority="156">
      <formula>LEN(TRIM(G12))&gt;0</formula>
    </cfRule>
  </conditionalFormatting>
  <conditionalFormatting sqref="G13">
    <cfRule type="expression" dxfId="0" priority="172">
      <formula>COUNTIF(INDIRECT("Checklist!$A79"), "TRUE") = 1</formula>
    </cfRule>
    <cfRule type="expression" dxfId="1" priority="173">
      <formula>COUNTIF(INDIRECT("Checklist!$A79"), "FALSE") = 1</formula>
    </cfRule>
    <cfRule type="notContainsBlanks" dxfId="5" priority="174">
      <formula>LEN(TRIM(G13))&gt;0</formula>
    </cfRule>
  </conditionalFormatting>
  <conditionalFormatting sqref="G131">
    <cfRule type="expression" dxfId="0" priority="1861">
      <formula>COUNTIF(INDIRECT("Checklist!$None"), "TRUE") = 1</formula>
    </cfRule>
    <cfRule type="expression" dxfId="1" priority="1862">
      <formula>COUNTIF(INDIRECT("Checklist!$None"), "FALSE") = 1</formula>
    </cfRule>
    <cfRule type="notContainsBlanks" dxfId="5" priority="1863">
      <formula>LEN(TRIM(G131))&gt;0</formula>
    </cfRule>
  </conditionalFormatting>
  <conditionalFormatting sqref="G132">
    <cfRule type="expression" dxfId="0" priority="1879">
      <formula>COUNTIF(INDIRECT("Checklist!$None"), "TRUE") = 1</formula>
    </cfRule>
    <cfRule type="expression" dxfId="1" priority="1880">
      <formula>COUNTIF(INDIRECT("Checklist!$None"), "FALSE") = 1</formula>
    </cfRule>
    <cfRule type="notContainsBlanks" dxfId="5" priority="1881">
      <formula>LEN(TRIM(G132))&gt;0</formula>
    </cfRule>
  </conditionalFormatting>
  <conditionalFormatting sqref="G133">
    <cfRule type="expression" dxfId="0" priority="1897">
      <formula>COUNTIF(INDIRECT("Checklist!$None"), "TRUE") = 1</formula>
    </cfRule>
    <cfRule type="expression" dxfId="1" priority="1898">
      <formula>COUNTIF(INDIRECT("Checklist!$None"), "FALSE") = 1</formula>
    </cfRule>
    <cfRule type="notContainsBlanks" dxfId="5" priority="1899">
      <formula>LEN(TRIM(G133))&gt;0</formula>
    </cfRule>
  </conditionalFormatting>
  <conditionalFormatting sqref="G134">
    <cfRule type="expression" dxfId="0" priority="1915">
      <formula>COUNTIF(INDIRECT("Checklist!$None"), "TRUE") = 1</formula>
    </cfRule>
    <cfRule type="expression" dxfId="1" priority="1916">
      <formula>COUNTIF(INDIRECT("Checklist!$None"), "FALSE") = 1</formula>
    </cfRule>
    <cfRule type="notContainsBlanks" dxfId="5" priority="1917">
      <formula>LEN(TRIM(G134))&gt;0</formula>
    </cfRule>
  </conditionalFormatting>
  <conditionalFormatting sqref="G135">
    <cfRule type="expression" dxfId="0" priority="1933">
      <formula>COUNTIF(INDIRECT("Checklist!$None"), "TRUE") = 1</formula>
    </cfRule>
    <cfRule type="expression" dxfId="1" priority="1934">
      <formula>COUNTIF(INDIRECT("Checklist!$None"), "FALSE") = 1</formula>
    </cfRule>
    <cfRule type="notContainsBlanks" dxfId="5" priority="1935">
      <formula>LEN(TRIM(G135))&gt;0</formula>
    </cfRule>
  </conditionalFormatting>
  <conditionalFormatting sqref="G139">
    <cfRule type="expression" dxfId="0" priority="1981">
      <formula>COUNTIF(INDIRECT("Checklist!$None"), "TRUE") = 1</formula>
    </cfRule>
    <cfRule type="expression" dxfId="1" priority="1982">
      <formula>COUNTIF(INDIRECT("Checklist!$None"), "FALSE") = 1</formula>
    </cfRule>
    <cfRule type="notContainsBlanks" dxfId="5" priority="1983">
      <formula>LEN(TRIM(G139))&gt;0</formula>
    </cfRule>
  </conditionalFormatting>
  <conditionalFormatting sqref="G14">
    <cfRule type="expression" dxfId="0" priority="190">
      <formula>COUNTIF(INDIRECT("Checklist!$A85"), "TRUE") = 1</formula>
    </cfRule>
    <cfRule type="expression" dxfId="1" priority="191">
      <formula>COUNTIF(INDIRECT("Checklist!$A85"), "FALSE") = 1</formula>
    </cfRule>
    <cfRule type="notContainsBlanks" dxfId="5" priority="192">
      <formula>LEN(TRIM(G14))&gt;0</formula>
    </cfRule>
  </conditionalFormatting>
  <conditionalFormatting sqref="G140">
    <cfRule type="expression" dxfId="0" priority="1999">
      <formula>COUNTIF(INDIRECT("Checklist!$None"), "TRUE") = 1</formula>
    </cfRule>
    <cfRule type="expression" dxfId="1" priority="2000">
      <formula>COUNTIF(INDIRECT("Checklist!$None"), "FALSE") = 1</formula>
    </cfRule>
    <cfRule type="notContainsBlanks" dxfId="5" priority="2001">
      <formula>LEN(TRIM(G140))&gt;0</formula>
    </cfRule>
  </conditionalFormatting>
  <conditionalFormatting sqref="G147">
    <cfRule type="expression" dxfId="0" priority="2026">
      <formula>COUNTIF(INDIRECT("Checklist!$None"), "TRUE") = 1</formula>
    </cfRule>
    <cfRule type="expression" dxfId="1" priority="2027">
      <formula>COUNTIF(INDIRECT("Checklist!$None"), "FALSE") = 1</formula>
    </cfRule>
    <cfRule type="notContainsBlanks" dxfId="5" priority="2028">
      <formula>LEN(TRIM(G147))&gt;0</formula>
    </cfRule>
  </conditionalFormatting>
  <conditionalFormatting sqref="G148">
    <cfRule type="expression" dxfId="0" priority="2044">
      <formula>COUNTIF(INDIRECT("Checklist!$None"), "TRUE") = 1</formula>
    </cfRule>
    <cfRule type="expression" dxfId="1" priority="2045">
      <formula>COUNTIF(INDIRECT("Checklist!$None"), "FALSE") = 1</formula>
    </cfRule>
    <cfRule type="notContainsBlanks" dxfId="5" priority="2046">
      <formula>LEN(TRIM(G148))&gt;0</formula>
    </cfRule>
  </conditionalFormatting>
  <conditionalFormatting sqref="G149">
    <cfRule type="expression" dxfId="0" priority="2062">
      <formula>COUNTIF(INDIRECT("Checklist!$None"), "TRUE") = 1</formula>
    </cfRule>
    <cfRule type="expression" dxfId="1" priority="2063">
      <formula>COUNTIF(INDIRECT("Checklist!$None"), "FALSE") = 1</formula>
    </cfRule>
    <cfRule type="notContainsBlanks" dxfId="5" priority="2064">
      <formula>LEN(TRIM(G149))&gt;0</formula>
    </cfRule>
  </conditionalFormatting>
  <conditionalFormatting sqref="G15">
    <cfRule type="expression" dxfId="0" priority="208">
      <formula>COUNTIF(INDIRECT("Checklist!$A91"), "TRUE") = 1</formula>
    </cfRule>
    <cfRule type="expression" dxfId="1" priority="209">
      <formula>COUNTIF(INDIRECT("Checklist!$A91"), "FALSE") = 1</formula>
    </cfRule>
    <cfRule type="notContainsBlanks" dxfId="5" priority="210">
      <formula>LEN(TRIM(G15))&gt;0</formula>
    </cfRule>
  </conditionalFormatting>
  <conditionalFormatting sqref="G150">
    <cfRule type="expression" dxfId="0" priority="2080">
      <formula>COUNTIF(INDIRECT("Checklist!$None"), "TRUE") = 1</formula>
    </cfRule>
    <cfRule type="expression" dxfId="1" priority="2081">
      <formula>COUNTIF(INDIRECT("Checklist!$None"), "FALSE") = 1</formula>
    </cfRule>
    <cfRule type="notContainsBlanks" dxfId="5" priority="2082">
      <formula>LEN(TRIM(G150))&gt;0</formula>
    </cfRule>
  </conditionalFormatting>
  <conditionalFormatting sqref="G155">
    <cfRule type="expression" dxfId="0" priority="2136">
      <formula>COUNTIF(INDIRECT("Checklist!$None"), "TRUE") = 1</formula>
    </cfRule>
    <cfRule type="expression" dxfId="1" priority="2137">
      <formula>COUNTIF(INDIRECT("Checklist!$None"), "FALSE") = 1</formula>
    </cfRule>
    <cfRule type="notContainsBlanks" dxfId="5" priority="2138">
      <formula>LEN(TRIM(G155))&gt;0</formula>
    </cfRule>
  </conditionalFormatting>
  <conditionalFormatting sqref="G156">
    <cfRule type="expression" dxfId="0" priority="2154">
      <formula>COUNTIF(INDIRECT("Checklist!$None"), "TRUE") = 1</formula>
    </cfRule>
    <cfRule type="expression" dxfId="1" priority="2155">
      <formula>COUNTIF(INDIRECT("Checklist!$None"), "FALSE") = 1</formula>
    </cfRule>
    <cfRule type="notContainsBlanks" dxfId="5" priority="2156">
      <formula>LEN(TRIM(G156))&gt;0</formula>
    </cfRule>
  </conditionalFormatting>
  <conditionalFormatting sqref="G157">
    <cfRule type="expression" dxfId="0" priority="2172">
      <formula>COUNTIF(INDIRECT("Checklist!$None"), "TRUE") = 1</formula>
    </cfRule>
    <cfRule type="expression" dxfId="1" priority="2173">
      <formula>COUNTIF(INDIRECT("Checklist!$None"), "FALSE") = 1</formula>
    </cfRule>
    <cfRule type="notContainsBlanks" dxfId="5" priority="2174">
      <formula>LEN(TRIM(G157))&gt;0</formula>
    </cfRule>
  </conditionalFormatting>
  <conditionalFormatting sqref="G158">
    <cfRule type="expression" dxfId="0" priority="2190">
      <formula>COUNTIF(INDIRECT("Checklist!$A1032"), "TRUE") = 1</formula>
    </cfRule>
    <cfRule type="expression" dxfId="1" priority="2191">
      <formula>COUNTIF(INDIRECT("Checklist!$A1032"), "FALSE") = 1</formula>
    </cfRule>
    <cfRule type="notContainsBlanks" dxfId="5" priority="2192">
      <formula>LEN(TRIM(G158))&gt;0</formula>
    </cfRule>
  </conditionalFormatting>
  <conditionalFormatting sqref="G163">
    <cfRule type="expression" dxfId="0" priority="2237">
      <formula>COUNTIF(INDIRECT("Checklist!$None"), "TRUE") = 1</formula>
    </cfRule>
    <cfRule type="expression" dxfId="1" priority="2238">
      <formula>COUNTIF(INDIRECT("Checklist!$None"), "FALSE") = 1</formula>
    </cfRule>
    <cfRule type="notContainsBlanks" dxfId="5" priority="2239">
      <formula>LEN(TRIM(G163))&gt;0</formula>
    </cfRule>
  </conditionalFormatting>
  <conditionalFormatting sqref="G164">
    <cfRule type="expression" dxfId="0" priority="2255">
      <formula>COUNTIF(INDIRECT("Checklist!$None"), "TRUE") = 1</formula>
    </cfRule>
    <cfRule type="expression" dxfId="1" priority="2256">
      <formula>COUNTIF(INDIRECT("Checklist!$None"), "FALSE") = 1</formula>
    </cfRule>
    <cfRule type="notContainsBlanks" dxfId="5" priority="2257">
      <formula>LEN(TRIM(G164))&gt;0</formula>
    </cfRule>
  </conditionalFormatting>
  <conditionalFormatting sqref="G165">
    <cfRule type="expression" dxfId="0" priority="2273">
      <formula>COUNTIF(INDIRECT("Checklist!$None"), "TRUE") = 1</formula>
    </cfRule>
    <cfRule type="expression" dxfId="1" priority="2274">
      <formula>COUNTIF(INDIRECT("Checklist!$None"), "FALSE") = 1</formula>
    </cfRule>
    <cfRule type="notContainsBlanks" dxfId="5" priority="2275">
      <formula>LEN(TRIM(G165))&gt;0</formula>
    </cfRule>
  </conditionalFormatting>
  <conditionalFormatting sqref="G166">
    <cfRule type="expression" dxfId="0" priority="2291">
      <formula>COUNTIF(INDIRECT("Checklist!$None"), "TRUE") = 1</formula>
    </cfRule>
    <cfRule type="expression" dxfId="1" priority="2292">
      <formula>COUNTIF(INDIRECT("Checklist!$None"), "FALSE") = 1</formula>
    </cfRule>
    <cfRule type="notContainsBlanks" dxfId="5" priority="2293">
      <formula>LEN(TRIM(G166))&gt;0</formula>
    </cfRule>
  </conditionalFormatting>
  <conditionalFormatting sqref="G167">
    <cfRule type="expression" dxfId="0" priority="2309">
      <formula>COUNTIF(INDIRECT("Checklist!$None"), "TRUE") = 1</formula>
    </cfRule>
    <cfRule type="expression" dxfId="1" priority="2310">
      <formula>COUNTIF(INDIRECT("Checklist!$None"), "FALSE") = 1</formula>
    </cfRule>
    <cfRule type="notContainsBlanks" dxfId="5" priority="2311">
      <formula>LEN(TRIM(G167))&gt;0</formula>
    </cfRule>
  </conditionalFormatting>
  <conditionalFormatting sqref="G171">
    <cfRule type="expression" dxfId="0" priority="2347">
      <formula>COUNTIF(INDIRECT("Checklist!$None"), "TRUE") = 1</formula>
    </cfRule>
    <cfRule type="expression" dxfId="1" priority="2348">
      <formula>COUNTIF(INDIRECT("Checklist!$None"), "FALSE") = 1</formula>
    </cfRule>
    <cfRule type="notContainsBlanks" dxfId="5" priority="2349">
      <formula>LEN(TRIM(G171))&gt;0</formula>
    </cfRule>
  </conditionalFormatting>
  <conditionalFormatting sqref="G172">
    <cfRule type="expression" dxfId="0" priority="2365">
      <formula>COUNTIF(INDIRECT("Checklist!$None"), "TRUE") = 1</formula>
    </cfRule>
    <cfRule type="expression" dxfId="1" priority="2366">
      <formula>COUNTIF(INDIRECT("Checklist!$None"), "FALSE") = 1</formula>
    </cfRule>
    <cfRule type="notContainsBlanks" dxfId="5" priority="2367">
      <formula>LEN(TRIM(G172))&gt;0</formula>
    </cfRule>
  </conditionalFormatting>
  <conditionalFormatting sqref="G173">
    <cfRule type="expression" dxfId="0" priority="2383">
      <formula>COUNTIF(INDIRECT("Checklist!$A1152"), "TRUE") = 1</formula>
    </cfRule>
    <cfRule type="expression" dxfId="1" priority="2384">
      <formula>COUNTIF(INDIRECT("Checklist!$A1152"), "FALSE") = 1</formula>
    </cfRule>
    <cfRule type="notContainsBlanks" dxfId="5" priority="2385">
      <formula>LEN(TRIM(G173))&gt;0</formula>
    </cfRule>
  </conditionalFormatting>
  <conditionalFormatting sqref="G179">
    <cfRule type="expression" dxfId="0" priority="2437">
      <formula>COUNTIF(INDIRECT("Checklist!$None"), "TRUE") = 1</formula>
    </cfRule>
    <cfRule type="expression" dxfId="1" priority="2438">
      <formula>COUNTIF(INDIRECT("Checklist!$None"), "FALSE") = 1</formula>
    </cfRule>
    <cfRule type="notContainsBlanks" dxfId="5" priority="2439">
      <formula>LEN(TRIM(G179))&gt;0</formula>
    </cfRule>
  </conditionalFormatting>
  <conditionalFormatting sqref="G180">
    <cfRule type="expression" dxfId="0" priority="2455">
      <formula>COUNTIF(INDIRECT("Checklist!$None"), "TRUE") = 1</formula>
    </cfRule>
    <cfRule type="expression" dxfId="1" priority="2456">
      <formula>COUNTIF(INDIRECT("Checklist!$None"), "FALSE") = 1</formula>
    </cfRule>
    <cfRule type="notContainsBlanks" dxfId="5" priority="2457">
      <formula>LEN(TRIM(G180))&gt;0</formula>
    </cfRule>
  </conditionalFormatting>
  <conditionalFormatting sqref="G181">
    <cfRule type="expression" dxfId="0" priority="2473">
      <formula>COUNTIF(INDIRECT("Checklist!$None"), "TRUE") = 1</formula>
    </cfRule>
    <cfRule type="expression" dxfId="1" priority="2474">
      <formula>COUNTIF(INDIRECT("Checklist!$None"), "FALSE") = 1</formula>
    </cfRule>
    <cfRule type="notContainsBlanks" dxfId="5" priority="2475">
      <formula>LEN(TRIM(G181))&gt;0</formula>
    </cfRule>
  </conditionalFormatting>
  <conditionalFormatting sqref="G182">
    <cfRule type="expression" dxfId="0" priority="2491">
      <formula>COUNTIF(INDIRECT("Checklist!$None"), "TRUE") = 1</formula>
    </cfRule>
    <cfRule type="expression" dxfId="1" priority="2492">
      <formula>COUNTIF(INDIRECT("Checklist!$None"), "FALSE") = 1</formula>
    </cfRule>
    <cfRule type="notContainsBlanks" dxfId="5" priority="2493">
      <formula>LEN(TRIM(G182))&gt;0</formula>
    </cfRule>
  </conditionalFormatting>
  <conditionalFormatting sqref="G187">
    <cfRule type="expression" dxfId="0" priority="2549">
      <formula>COUNTIF(INDIRECT("Checklist!$None"), "TRUE") = 1</formula>
    </cfRule>
    <cfRule type="expression" dxfId="1" priority="2550">
      <formula>COUNTIF(INDIRECT("Checklist!$None"), "FALSE") = 1</formula>
    </cfRule>
    <cfRule type="notContainsBlanks" dxfId="5" priority="2551">
      <formula>LEN(TRIM(G187))&gt;0</formula>
    </cfRule>
  </conditionalFormatting>
  <conditionalFormatting sqref="G19">
    <cfRule type="expression" dxfId="0" priority="256">
      <formula>COUNTIF(INDIRECT("Checklist!$A127"), "TRUE") = 1</formula>
    </cfRule>
    <cfRule type="expression" dxfId="1" priority="257">
      <formula>COUNTIF(INDIRECT("Checklist!$A127"), "FALSE") = 1</formula>
    </cfRule>
    <cfRule type="notContainsBlanks" dxfId="5" priority="258">
      <formula>LEN(TRIM(G19))&gt;0</formula>
    </cfRule>
  </conditionalFormatting>
  <conditionalFormatting sqref="G195">
    <cfRule type="expression" dxfId="0" priority="2600">
      <formula>COUNTIF(INDIRECT("Checklist!$A885"), "TRUE") = 1</formula>
    </cfRule>
    <cfRule type="expression" dxfId="1" priority="2601">
      <formula>COUNTIF(INDIRECT("Checklist!$A885"), "FALSE") = 1</formula>
    </cfRule>
    <cfRule type="notContainsBlanks" dxfId="5" priority="2602">
      <formula>LEN(TRIM(G195))&gt;0</formula>
    </cfRule>
  </conditionalFormatting>
  <conditionalFormatting sqref="G20">
    <cfRule type="expression" dxfId="0" priority="274">
      <formula>COUNTIF(INDIRECT("Checklist!$A133"), "TRUE") = 1</formula>
    </cfRule>
    <cfRule type="expression" dxfId="1" priority="275">
      <formula>COUNTIF(INDIRECT("Checklist!$A133"), "FALSE") = 1</formula>
    </cfRule>
    <cfRule type="notContainsBlanks" dxfId="5" priority="276">
      <formula>LEN(TRIM(G20))&gt;0</formula>
    </cfRule>
  </conditionalFormatting>
  <conditionalFormatting sqref="G203">
    <cfRule type="expression" dxfId="0" priority="2624">
      <formula>COUNTIF(INDIRECT("Checklist!$A1114"), "TRUE") = 1</formula>
    </cfRule>
    <cfRule type="expression" dxfId="1" priority="2625">
      <formula>COUNTIF(INDIRECT("Checklist!$A1114"), "FALSE") = 1</formula>
    </cfRule>
    <cfRule type="notContainsBlanks" dxfId="5" priority="2626">
      <formula>LEN(TRIM(G203))&gt;0</formula>
    </cfRule>
  </conditionalFormatting>
  <conditionalFormatting sqref="G204">
    <cfRule type="expression" dxfId="0" priority="2642">
      <formula>COUNTIF(INDIRECT("Checklist!$A1120"), "TRUE") = 1</formula>
    </cfRule>
    <cfRule type="expression" dxfId="1" priority="2643">
      <formula>COUNTIF(INDIRECT("Checklist!$A1120"), "FALSE") = 1</formula>
    </cfRule>
    <cfRule type="notContainsBlanks" dxfId="5" priority="2644">
      <formula>LEN(TRIM(G204))&gt;0</formula>
    </cfRule>
  </conditionalFormatting>
  <conditionalFormatting sqref="G205">
    <cfRule type="expression" dxfId="0" priority="2660">
      <formula>COUNTIF(INDIRECT("Checklist!$A1126"), "TRUE") = 1</formula>
    </cfRule>
    <cfRule type="expression" dxfId="1" priority="2661">
      <formula>COUNTIF(INDIRECT("Checklist!$A1126"), "FALSE") = 1</formula>
    </cfRule>
    <cfRule type="notContainsBlanks" dxfId="5" priority="2662">
      <formula>LEN(TRIM(G205))&gt;0</formula>
    </cfRule>
  </conditionalFormatting>
  <conditionalFormatting sqref="G21">
    <cfRule type="expression" dxfId="0" priority="292">
      <formula>COUNTIF(INDIRECT("Checklist!$A139"), "TRUE") = 1</formula>
    </cfRule>
    <cfRule type="expression" dxfId="1" priority="293">
      <formula>COUNTIF(INDIRECT("Checklist!$A139"), "FALSE") = 1</formula>
    </cfRule>
    <cfRule type="notContainsBlanks" dxfId="5" priority="294">
      <formula>LEN(TRIM(G21))&gt;0</formula>
    </cfRule>
  </conditionalFormatting>
  <conditionalFormatting sqref="G211">
    <cfRule type="expression" dxfId="0" priority="2697">
      <formula>COUNTIF(INDIRECT("Checklist!$A1245"), "TRUE") = 1</formula>
    </cfRule>
    <cfRule type="expression" dxfId="1" priority="2698">
      <formula>COUNTIF(INDIRECT("Checklist!$A1245"), "FALSE") = 1</formula>
    </cfRule>
    <cfRule type="notContainsBlanks" dxfId="5" priority="2699">
      <formula>LEN(TRIM(G211))&gt;0</formula>
    </cfRule>
  </conditionalFormatting>
  <conditionalFormatting sqref="G212">
    <cfRule type="expression" dxfId="0" priority="2715">
      <formula>COUNTIF(INDIRECT("Checklist!$A1250"), "TRUE") = 1</formula>
    </cfRule>
    <cfRule type="expression" dxfId="1" priority="2716">
      <formula>COUNTIF(INDIRECT("Checklist!$A1250"), "FALSE") = 1</formula>
    </cfRule>
    <cfRule type="notContainsBlanks" dxfId="5" priority="2717">
      <formula>LEN(TRIM(G212))&gt;0</formula>
    </cfRule>
  </conditionalFormatting>
  <conditionalFormatting sqref="G22">
    <cfRule type="expression" dxfId="0" priority="310">
      <formula>COUNTIF(INDIRECT("Checklist!$A145"), "TRUE") = 1</formula>
    </cfRule>
    <cfRule type="expression" dxfId="1" priority="311">
      <formula>COUNTIF(INDIRECT("Checklist!$A145"), "FALSE") = 1</formula>
    </cfRule>
    <cfRule type="notContainsBlanks" dxfId="5" priority="312">
      <formula>LEN(TRIM(G22))&gt;0</formula>
    </cfRule>
  </conditionalFormatting>
  <conditionalFormatting sqref="G23">
    <cfRule type="expression" dxfId="0" priority="328">
      <formula>COUNTIF(INDIRECT("Checklist!$A151"), "TRUE") = 1</formula>
    </cfRule>
    <cfRule type="expression" dxfId="1" priority="329">
      <formula>COUNTIF(INDIRECT("Checklist!$A151"), "FALSE") = 1</formula>
    </cfRule>
    <cfRule type="notContainsBlanks" dxfId="5" priority="330">
      <formula>LEN(TRIM(G23))&gt;0</formula>
    </cfRule>
  </conditionalFormatting>
  <conditionalFormatting sqref="G27">
    <cfRule type="expression" dxfId="0" priority="376">
      <formula>COUNTIF(INDIRECT("Checklist!$A187"), "TRUE") = 1</formula>
    </cfRule>
    <cfRule type="expression" dxfId="1" priority="377">
      <formula>COUNTIF(INDIRECT("Checklist!$A187"), "FALSE") = 1</formula>
    </cfRule>
    <cfRule type="notContainsBlanks" dxfId="5" priority="378">
      <formula>LEN(TRIM(G27))&gt;0</formula>
    </cfRule>
  </conditionalFormatting>
  <conditionalFormatting sqref="G28">
    <cfRule type="expression" dxfId="0" priority="394">
      <formula>COUNTIF(INDIRECT("Checklist!$A193"), "TRUE") = 1</formula>
    </cfRule>
    <cfRule type="expression" dxfId="1" priority="395">
      <formula>COUNTIF(INDIRECT("Checklist!$A193"), "FALSE") = 1</formula>
    </cfRule>
    <cfRule type="notContainsBlanks" dxfId="5" priority="396">
      <formula>LEN(TRIM(G28))&gt;0</formula>
    </cfRule>
  </conditionalFormatting>
  <conditionalFormatting sqref="G29">
    <cfRule type="expression" dxfId="0" priority="412">
      <formula>COUNTIF(INDIRECT("Checklist!$A199"), "TRUE") = 1</formula>
    </cfRule>
    <cfRule type="expression" dxfId="1" priority="413">
      <formula>COUNTIF(INDIRECT("Checklist!$A199"), "FALSE") = 1</formula>
    </cfRule>
    <cfRule type="notContainsBlanks" dxfId="5" priority="414">
      <formula>LEN(TRIM(G29))&gt;0</formula>
    </cfRule>
  </conditionalFormatting>
  <conditionalFormatting sqref="G3">
    <cfRule type="expression" dxfId="0" priority="16">
      <formula>COUNTIF(INDIRECT("Checklist!$A7"), "TRUE") = 1</formula>
    </cfRule>
    <cfRule type="expression" dxfId="1" priority="17">
      <formula>COUNTIF(INDIRECT("Checklist!$A7"), "FALSE") = 1</formula>
    </cfRule>
    <cfRule type="notContainsBlanks" dxfId="5" priority="18">
      <formula>LEN(TRIM(G3))&gt;0</formula>
    </cfRule>
  </conditionalFormatting>
  <conditionalFormatting sqref="G30">
    <cfRule type="expression" dxfId="0" priority="430">
      <formula>COUNTIF(INDIRECT("Checklist!$A205"), "TRUE") = 1</formula>
    </cfRule>
    <cfRule type="expression" dxfId="1" priority="431">
      <formula>COUNTIF(INDIRECT("Checklist!$A205"), "FALSE") = 1</formula>
    </cfRule>
    <cfRule type="notContainsBlanks" dxfId="5" priority="432">
      <formula>LEN(TRIM(G30))&gt;0</formula>
    </cfRule>
  </conditionalFormatting>
  <conditionalFormatting sqref="G31">
    <cfRule type="expression" dxfId="0" priority="448">
      <formula>COUNTIF(INDIRECT("Checklist!$A211"), "TRUE") = 1</formula>
    </cfRule>
    <cfRule type="expression" dxfId="1" priority="449">
      <formula>COUNTIF(INDIRECT("Checklist!$A211"), "FALSE") = 1</formula>
    </cfRule>
    <cfRule type="notContainsBlanks" dxfId="5" priority="450">
      <formula>LEN(TRIM(G31))&gt;0</formula>
    </cfRule>
  </conditionalFormatting>
  <conditionalFormatting sqref="G35">
    <cfRule type="expression" dxfId="0" priority="496">
      <formula>COUNTIF(INDIRECT("Checklist!$A247"), "TRUE") = 1</formula>
    </cfRule>
    <cfRule type="expression" dxfId="1" priority="497">
      <formula>COUNTIF(INDIRECT("Checklist!$A247"), "FALSE") = 1</formula>
    </cfRule>
    <cfRule type="notContainsBlanks" dxfId="5" priority="498">
      <formula>LEN(TRIM(G35))&gt;0</formula>
    </cfRule>
  </conditionalFormatting>
  <conditionalFormatting sqref="G36">
    <cfRule type="expression" dxfId="0" priority="514">
      <formula>COUNTIF(INDIRECT("Checklist!$A253"), "TRUE") = 1</formula>
    </cfRule>
    <cfRule type="expression" dxfId="1" priority="515">
      <formula>COUNTIF(INDIRECT("Checklist!$A253"), "FALSE") = 1</formula>
    </cfRule>
    <cfRule type="notContainsBlanks" dxfId="5" priority="516">
      <formula>LEN(TRIM(G36))&gt;0</formula>
    </cfRule>
  </conditionalFormatting>
  <conditionalFormatting sqref="G37">
    <cfRule type="expression" dxfId="0" priority="532">
      <formula>COUNTIF(INDIRECT("Checklist!$A259"), "TRUE") = 1</formula>
    </cfRule>
    <cfRule type="expression" dxfId="1" priority="533">
      <formula>COUNTIF(INDIRECT("Checklist!$A259"), "FALSE") = 1</formula>
    </cfRule>
    <cfRule type="notContainsBlanks" dxfId="5" priority="534">
      <formula>LEN(TRIM(G37))&gt;0</formula>
    </cfRule>
  </conditionalFormatting>
  <conditionalFormatting sqref="G38">
    <cfRule type="expression" dxfId="0" priority="550">
      <formula>COUNTIF(INDIRECT("Checklist!$A265"), "TRUE") = 1</formula>
    </cfRule>
    <cfRule type="expression" dxfId="1" priority="551">
      <formula>COUNTIF(INDIRECT("Checklist!$A265"), "FALSE") = 1</formula>
    </cfRule>
    <cfRule type="notContainsBlanks" dxfId="5" priority="552">
      <formula>LEN(TRIM(G38))&gt;0</formula>
    </cfRule>
  </conditionalFormatting>
  <conditionalFormatting sqref="G39">
    <cfRule type="expression" dxfId="0" priority="568">
      <formula>COUNTIF(INDIRECT("Checklist!$A271"), "TRUE") = 1</formula>
    </cfRule>
    <cfRule type="expression" dxfId="1" priority="569">
      <formula>COUNTIF(INDIRECT("Checklist!$A271"), "FALSE") = 1</formula>
    </cfRule>
    <cfRule type="notContainsBlanks" dxfId="5" priority="570">
      <formula>LEN(TRIM(G39))&gt;0</formula>
    </cfRule>
  </conditionalFormatting>
  <conditionalFormatting sqref="G4">
    <cfRule type="expression" dxfId="0" priority="34">
      <formula>COUNTIF(INDIRECT("Checklist!$A13"), "TRUE") = 1</formula>
    </cfRule>
    <cfRule type="expression" dxfId="1" priority="35">
      <formula>COUNTIF(INDIRECT("Checklist!$A13"), "FALSE") = 1</formula>
    </cfRule>
    <cfRule type="notContainsBlanks" dxfId="5" priority="36">
      <formula>LEN(TRIM(G4))&gt;0</formula>
    </cfRule>
  </conditionalFormatting>
  <conditionalFormatting sqref="G43">
    <cfRule type="expression" dxfId="0" priority="616">
      <formula>COUNTIF(INDIRECT("Checklist!$A307"), "TRUE") = 1</formula>
    </cfRule>
    <cfRule type="expression" dxfId="1" priority="617">
      <formula>COUNTIF(INDIRECT("Checklist!$A307"), "FALSE") = 1</formula>
    </cfRule>
    <cfRule type="notContainsBlanks" dxfId="5" priority="618">
      <formula>LEN(TRIM(G43))&gt;0</formula>
    </cfRule>
  </conditionalFormatting>
  <conditionalFormatting sqref="G44">
    <cfRule type="expression" dxfId="0" priority="634">
      <formula>COUNTIF(INDIRECT("Checklist!$A313"), "TRUE") = 1</formula>
    </cfRule>
    <cfRule type="expression" dxfId="1" priority="635">
      <formula>COUNTIF(INDIRECT("Checklist!$A313"), "FALSE") = 1</formula>
    </cfRule>
    <cfRule type="notContainsBlanks" dxfId="5" priority="636">
      <formula>LEN(TRIM(G44))&gt;0</formula>
    </cfRule>
  </conditionalFormatting>
  <conditionalFormatting sqref="G45">
    <cfRule type="expression" dxfId="0" priority="652">
      <formula>COUNTIF(INDIRECT("Checklist!$A319"), "TRUE") = 1</formula>
    </cfRule>
    <cfRule type="expression" dxfId="1" priority="653">
      <formula>COUNTIF(INDIRECT("Checklist!$A319"), "FALSE") = 1</formula>
    </cfRule>
    <cfRule type="notContainsBlanks" dxfId="5" priority="654">
      <formula>LEN(TRIM(G45))&gt;0</formula>
    </cfRule>
  </conditionalFormatting>
  <conditionalFormatting sqref="G46">
    <cfRule type="expression" dxfId="0" priority="670">
      <formula>COUNTIF(INDIRECT("Checklist!$A325"), "TRUE") = 1</formula>
    </cfRule>
    <cfRule type="expression" dxfId="1" priority="671">
      <formula>COUNTIF(INDIRECT("Checklist!$A325"), "FALSE") = 1</formula>
    </cfRule>
    <cfRule type="notContainsBlanks" dxfId="5" priority="672">
      <formula>LEN(TRIM(G46))&gt;0</formula>
    </cfRule>
  </conditionalFormatting>
  <conditionalFormatting sqref="G47">
    <cfRule type="expression" dxfId="0" priority="688">
      <formula>COUNTIF(INDIRECT("Checklist!$A331"), "TRUE") = 1</formula>
    </cfRule>
    <cfRule type="expression" dxfId="1" priority="689">
      <formula>COUNTIF(INDIRECT("Checklist!$A331"), "FALSE") = 1</formula>
    </cfRule>
    <cfRule type="notContainsBlanks" dxfId="5" priority="6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736">
      <formula>COUNTIF(INDIRECT("Checklist!$A367"), "TRUE") = 1</formula>
    </cfRule>
    <cfRule type="expression" dxfId="1" priority="737">
      <formula>COUNTIF(INDIRECT("Checklist!$A367"), "FALSE") = 1</formula>
    </cfRule>
    <cfRule type="notContainsBlanks" dxfId="5" priority="738">
      <formula>LEN(TRIM(G51))&gt;0</formula>
    </cfRule>
  </conditionalFormatting>
  <conditionalFormatting sqref="G52">
    <cfRule type="expression" dxfId="0" priority="754">
      <formula>COUNTIF(INDIRECT("Checklist!$A373"), "TRUE") = 1</formula>
    </cfRule>
    <cfRule type="expression" dxfId="1" priority="755">
      <formula>COUNTIF(INDIRECT("Checklist!$A373"), "FALSE") = 1</formula>
    </cfRule>
    <cfRule type="notContainsBlanks" dxfId="5" priority="756">
      <formula>LEN(TRIM(G52))&gt;0</formula>
    </cfRule>
  </conditionalFormatting>
  <conditionalFormatting sqref="G53">
    <cfRule type="expression" dxfId="0" priority="772">
      <formula>COUNTIF(INDIRECT("Checklist!$A379"), "TRUE") = 1</formula>
    </cfRule>
    <cfRule type="expression" dxfId="1" priority="773">
      <formula>COUNTIF(INDIRECT("Checklist!$A379"), "FALSE") = 1</formula>
    </cfRule>
    <cfRule type="notContainsBlanks" dxfId="5" priority="774">
      <formula>LEN(TRIM(G53))&gt;0</formula>
    </cfRule>
  </conditionalFormatting>
  <conditionalFormatting sqref="G54">
    <cfRule type="expression" dxfId="0" priority="790">
      <formula>COUNTIF(INDIRECT("Checklist!$A385"), "TRUE") = 1</formula>
    </cfRule>
    <cfRule type="expression" dxfId="1" priority="791">
      <formula>COUNTIF(INDIRECT("Checklist!$A385"), "FALSE") = 1</formula>
    </cfRule>
    <cfRule type="notContainsBlanks" dxfId="5" priority="792">
      <formula>LEN(TRIM(G54))&gt;0</formula>
    </cfRule>
  </conditionalFormatting>
  <conditionalFormatting sqref="G55">
    <cfRule type="expression" dxfId="0" priority="808">
      <formula>COUNTIF(INDIRECT("Checklist!$A391"), "TRUE") = 1</formula>
    </cfRule>
    <cfRule type="expression" dxfId="1" priority="809">
      <formula>COUNTIF(INDIRECT("Checklist!$A391"), "FALSE") = 1</formula>
    </cfRule>
    <cfRule type="notContainsBlanks" dxfId="5" priority="810">
      <formula>LEN(TRIM(G55))&gt;0</formula>
    </cfRule>
  </conditionalFormatting>
  <conditionalFormatting sqref="G59">
    <cfRule type="expression" dxfId="0" priority="856">
      <formula>COUNTIF(INDIRECT("Checklist!$A427"), "TRUE") = 1</formula>
    </cfRule>
    <cfRule type="expression" dxfId="1" priority="857">
      <formula>COUNTIF(INDIRECT("Checklist!$A427"), "FALSE") = 1</formula>
    </cfRule>
    <cfRule type="notContainsBlanks" dxfId="5" priority="85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874">
      <formula>COUNTIF(INDIRECT("Checklist!$A433"), "TRUE") = 1</formula>
    </cfRule>
    <cfRule type="expression" dxfId="1" priority="875">
      <formula>COUNTIF(INDIRECT("Checklist!$A433"), "FALSE") = 1</formula>
    </cfRule>
    <cfRule type="notContainsBlanks" dxfId="5" priority="876">
      <formula>LEN(TRIM(G60))&gt;0</formula>
    </cfRule>
  </conditionalFormatting>
  <conditionalFormatting sqref="G61">
    <cfRule type="expression" dxfId="0" priority="892">
      <formula>COUNTIF(INDIRECT("Checklist!$A439"), "TRUE") = 1</formula>
    </cfRule>
    <cfRule type="expression" dxfId="1" priority="893">
      <formula>COUNTIF(INDIRECT("Checklist!$A439"), "FALSE") = 1</formula>
    </cfRule>
    <cfRule type="notContainsBlanks" dxfId="5" priority="894">
      <formula>LEN(TRIM(G61))&gt;0</formula>
    </cfRule>
  </conditionalFormatting>
  <conditionalFormatting sqref="G62">
    <cfRule type="expression" dxfId="0" priority="910">
      <formula>COUNTIF(INDIRECT("Checklist!$A445"), "TRUE") = 1</formula>
    </cfRule>
    <cfRule type="expression" dxfId="1" priority="911">
      <formula>COUNTIF(INDIRECT("Checklist!$A445"), "FALSE") = 1</formula>
    </cfRule>
    <cfRule type="notContainsBlanks" dxfId="5" priority="912">
      <formula>LEN(TRIM(G62))&gt;0</formula>
    </cfRule>
  </conditionalFormatting>
  <conditionalFormatting sqref="G63">
    <cfRule type="expression" dxfId="0" priority="928">
      <formula>COUNTIF(INDIRECT("Checklist!$A451"), "TRUE") = 1</formula>
    </cfRule>
    <cfRule type="expression" dxfId="1" priority="929">
      <formula>COUNTIF(INDIRECT("Checklist!$A451"), "FALSE") = 1</formula>
    </cfRule>
    <cfRule type="notContainsBlanks" dxfId="5" priority="930">
      <formula>LEN(TRIM(G63))&gt;0</formula>
    </cfRule>
  </conditionalFormatting>
  <conditionalFormatting sqref="G67">
    <cfRule type="expression" dxfId="0" priority="976">
      <formula>COUNTIF(INDIRECT("Checklist!$A487"), "TRUE") = 1</formula>
    </cfRule>
    <cfRule type="expression" dxfId="1" priority="977">
      <formula>COUNTIF(INDIRECT("Checklist!$A487"), "FALSE") = 1</formula>
    </cfRule>
    <cfRule type="notContainsBlanks" dxfId="5" priority="978">
      <formula>LEN(TRIM(G67))&gt;0</formula>
    </cfRule>
  </conditionalFormatting>
  <conditionalFormatting sqref="G68">
    <cfRule type="expression" dxfId="0" priority="994">
      <formula>COUNTIF(INDIRECT("Checklist!$None"), "TRUE") = 1</formula>
    </cfRule>
    <cfRule type="expression" dxfId="1" priority="995">
      <formula>COUNTIF(INDIRECT("Checklist!$None"), "FALSE") = 1</formula>
    </cfRule>
    <cfRule type="notContainsBlanks" dxfId="5" priority="996">
      <formula>LEN(TRIM(G68))&gt;0</formula>
    </cfRule>
  </conditionalFormatting>
  <conditionalFormatting sqref="G69">
    <cfRule type="expression" dxfId="0" priority="1012">
      <formula>COUNTIF(INDIRECT("Checklist!$A499"), "TRUE") = 1</formula>
    </cfRule>
    <cfRule type="expression" dxfId="1" priority="1013">
      <formula>COUNTIF(INDIRECT("Checklist!$A499"), "FALSE") = 1</formula>
    </cfRule>
    <cfRule type="notContainsBlanks" dxfId="5" priority="101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030">
      <formula>COUNTIF(INDIRECT("Checklist!$A505"), "TRUE") = 1</formula>
    </cfRule>
    <cfRule type="expression" dxfId="1" priority="1031">
      <formula>COUNTIF(INDIRECT("Checklist!$A505"), "FALSE") = 1</formula>
    </cfRule>
    <cfRule type="notContainsBlanks" dxfId="5" priority="1032">
      <formula>LEN(TRIM(G70))&gt;0</formula>
    </cfRule>
  </conditionalFormatting>
  <conditionalFormatting sqref="G71">
    <cfRule type="expression" dxfId="0" priority="1048">
      <formula>COUNTIF(INDIRECT("Checklist!$A511"), "TRUE") = 1</formula>
    </cfRule>
    <cfRule type="expression" dxfId="1" priority="1049">
      <formula>COUNTIF(INDIRECT("Checklist!$A511"), "FALSE") = 1</formula>
    </cfRule>
    <cfRule type="notContainsBlanks" dxfId="5" priority="1050">
      <formula>LEN(TRIM(G71))&gt;0</formula>
    </cfRule>
  </conditionalFormatting>
  <conditionalFormatting sqref="G75">
    <cfRule type="expression" dxfId="0" priority="1096">
      <formula>COUNTIF(INDIRECT("Checklist!$A547"), "TRUE") = 1</formula>
    </cfRule>
    <cfRule type="expression" dxfId="1" priority="1097">
      <formula>COUNTIF(INDIRECT("Checklist!$A547"), "FALSE") = 1</formula>
    </cfRule>
    <cfRule type="notContainsBlanks" dxfId="5" priority="1098">
      <formula>LEN(TRIM(G75))&gt;0</formula>
    </cfRule>
  </conditionalFormatting>
  <conditionalFormatting sqref="G76">
    <cfRule type="expression" dxfId="0" priority="1114">
      <formula>COUNTIF(INDIRECT("Checklist!$A553"), "TRUE") = 1</formula>
    </cfRule>
    <cfRule type="expression" dxfId="1" priority="1115">
      <formula>COUNTIF(INDIRECT("Checklist!$A553"), "FALSE") = 1</formula>
    </cfRule>
    <cfRule type="notContainsBlanks" dxfId="5" priority="1116">
      <formula>LEN(TRIM(G76))&gt;0</formula>
    </cfRule>
  </conditionalFormatting>
  <conditionalFormatting sqref="G77">
    <cfRule type="expression" dxfId="0" priority="1132">
      <formula>COUNTIF(INDIRECT("Checklist!$A559"), "TRUE") = 1</formula>
    </cfRule>
    <cfRule type="expression" dxfId="1" priority="1133">
      <formula>COUNTIF(INDIRECT("Checklist!$A559"), "FALSE") = 1</formula>
    </cfRule>
    <cfRule type="notContainsBlanks" dxfId="5" priority="1134">
      <formula>LEN(TRIM(G77))&gt;0</formula>
    </cfRule>
  </conditionalFormatting>
  <conditionalFormatting sqref="G78">
    <cfRule type="expression" dxfId="0" priority="1150">
      <formula>COUNTIF(INDIRECT("Checklist!$A565"), "TRUE") = 1</formula>
    </cfRule>
    <cfRule type="expression" dxfId="1" priority="1151">
      <formula>COUNTIF(INDIRECT("Checklist!$A565"), "FALSE") = 1</formula>
    </cfRule>
    <cfRule type="notContainsBlanks" dxfId="5" priority="1152">
      <formula>LEN(TRIM(G78))&gt;0</formula>
    </cfRule>
  </conditionalFormatting>
  <conditionalFormatting sqref="G79">
    <cfRule type="expression" dxfId="0" priority="1168">
      <formula>COUNTIF(INDIRECT("Checklist!$A571"), "TRUE") = 1</formula>
    </cfRule>
    <cfRule type="expression" dxfId="1" priority="1169">
      <formula>COUNTIF(INDIRECT("Checklist!$A571"), "FALSE") = 1</formula>
    </cfRule>
    <cfRule type="notContainsBlanks" dxfId="5" priority="1170">
      <formula>LEN(TRIM(G79))&gt;0</formula>
    </cfRule>
  </conditionalFormatting>
  <conditionalFormatting sqref="G83">
    <cfRule type="expression" dxfId="0" priority="1216">
      <formula>COUNTIF(INDIRECT("Checklist!$A607"), "TRUE") = 1</formula>
    </cfRule>
    <cfRule type="expression" dxfId="1" priority="1217">
      <formula>COUNTIF(INDIRECT("Checklist!$A607"), "FALSE") = 1</formula>
    </cfRule>
    <cfRule type="notContainsBlanks" dxfId="5" priority="1218">
      <formula>LEN(TRIM(G83))&gt;0</formula>
    </cfRule>
  </conditionalFormatting>
  <conditionalFormatting sqref="G84">
    <cfRule type="expression" dxfId="0" priority="1234">
      <formula>COUNTIF(INDIRECT("Checklist!$A613"), "TRUE") = 1</formula>
    </cfRule>
    <cfRule type="expression" dxfId="1" priority="1235">
      <formula>COUNTIF(INDIRECT("Checklist!$A613"), "FALSE") = 1</formula>
    </cfRule>
    <cfRule type="notContainsBlanks" dxfId="5" priority="1236">
      <formula>LEN(TRIM(G84))&gt;0</formula>
    </cfRule>
  </conditionalFormatting>
  <conditionalFormatting sqref="G85">
    <cfRule type="expression" dxfId="0" priority="1252">
      <formula>COUNTIF(INDIRECT("Checklist!$A619"), "TRUE") = 1</formula>
    </cfRule>
    <cfRule type="expression" dxfId="1" priority="1253">
      <formula>COUNTIF(INDIRECT("Checklist!$A619"), "FALSE") = 1</formula>
    </cfRule>
    <cfRule type="notContainsBlanks" dxfId="5" priority="1254">
      <formula>LEN(TRIM(G85))&gt;0</formula>
    </cfRule>
  </conditionalFormatting>
  <conditionalFormatting sqref="G86">
    <cfRule type="expression" dxfId="0" priority="1270">
      <formula>COUNTIF(INDIRECT("Checklist!$A625"), "TRUE") = 1</formula>
    </cfRule>
    <cfRule type="expression" dxfId="1" priority="1271">
      <formula>COUNTIF(INDIRECT("Checklist!$A625"), "FALSE") = 1</formula>
    </cfRule>
    <cfRule type="notContainsBlanks" dxfId="5" priority="1272">
      <formula>LEN(TRIM(G86))&gt;0</formula>
    </cfRule>
  </conditionalFormatting>
  <conditionalFormatting sqref="G87">
    <cfRule type="expression" dxfId="0" priority="1288">
      <formula>COUNTIF(INDIRECT("Checklist!$A631"), "TRUE") = 1</formula>
    </cfRule>
    <cfRule type="expression" dxfId="1" priority="1289">
      <formula>COUNTIF(INDIRECT("Checklist!$A631"), "FALSE") = 1</formula>
    </cfRule>
    <cfRule type="notContainsBlanks" dxfId="5" priority="1290">
      <formula>LEN(TRIM(G87))&gt;0</formula>
    </cfRule>
  </conditionalFormatting>
  <conditionalFormatting sqref="G91">
    <cfRule type="expression" dxfId="0" priority="1336">
      <formula>COUNTIF(INDIRECT("Checklist!$A667"), "TRUE") = 1</formula>
    </cfRule>
    <cfRule type="expression" dxfId="1" priority="1337">
      <formula>COUNTIF(INDIRECT("Checklist!$A667"), "FALSE") = 1</formula>
    </cfRule>
    <cfRule type="notContainsBlanks" dxfId="5" priority="1338">
      <formula>LEN(TRIM(G91))&gt;0</formula>
    </cfRule>
  </conditionalFormatting>
  <conditionalFormatting sqref="G92">
    <cfRule type="expression" dxfId="0" priority="1354">
      <formula>COUNTIF(INDIRECT("Checklist!$A673"), "TRUE") = 1</formula>
    </cfRule>
    <cfRule type="expression" dxfId="1" priority="1355">
      <formula>COUNTIF(INDIRECT("Checklist!$A673"), "FALSE") = 1</formula>
    </cfRule>
    <cfRule type="notContainsBlanks" dxfId="5" priority="1356">
      <formula>LEN(TRIM(G92))&gt;0</formula>
    </cfRule>
  </conditionalFormatting>
  <conditionalFormatting sqref="G93">
    <cfRule type="expression" dxfId="0" priority="1372">
      <formula>COUNTIF(INDIRECT("Checklist!$None"), "TRUE") = 1</formula>
    </cfRule>
    <cfRule type="expression" dxfId="1" priority="1373">
      <formula>COUNTIF(INDIRECT("Checklist!$None"), "FALSE") = 1</formula>
    </cfRule>
    <cfRule type="notContainsBlanks" dxfId="5" priority="1374">
      <formula>LEN(TRIM(G93))&gt;0</formula>
    </cfRule>
  </conditionalFormatting>
  <conditionalFormatting sqref="G94">
    <cfRule type="expression" dxfId="0" priority="1390">
      <formula>COUNTIF(INDIRECT("Checklist!$A685"), "TRUE") = 1</formula>
    </cfRule>
    <cfRule type="expression" dxfId="1" priority="1391">
      <formula>COUNTIF(INDIRECT("Checklist!$A685"), "FALSE") = 1</formula>
    </cfRule>
    <cfRule type="notContainsBlanks" dxfId="5" priority="1392">
      <formula>LEN(TRIM(G94))&gt;0</formula>
    </cfRule>
  </conditionalFormatting>
  <conditionalFormatting sqref="G95">
    <cfRule type="expression" dxfId="0" priority="1408">
      <formula>COUNTIF(INDIRECT("Checklist!$A691"), "TRUE") = 1</formula>
    </cfRule>
    <cfRule type="expression" dxfId="1" priority="1409">
      <formula>COUNTIF(INDIRECT("Checklist!$A691"), "FALSE") = 1</formula>
    </cfRule>
    <cfRule type="notContainsBlanks" dxfId="5" priority="1410">
      <formula>LEN(TRIM(G95))&gt;0</formula>
    </cfRule>
  </conditionalFormatting>
  <conditionalFormatting sqref="G99">
    <cfRule type="expression" dxfId="0" priority="1456">
      <formula>COUNTIF(INDIRECT("Checklist!$A727"), "TRUE") = 1</formula>
    </cfRule>
    <cfRule type="expression" dxfId="1" priority="1457">
      <formula>COUNTIF(INDIRECT("Checklist!$A727"), "FALSE") = 1</formula>
    </cfRule>
    <cfRule type="notContainsBlanks" dxfId="5" priority="1458">
      <formula>LEN(TRIM(G99))&gt;0</formula>
    </cfRule>
  </conditionalFormatting>
  <conditionalFormatting sqref="I100">
    <cfRule type="expression" dxfId="0" priority="1537">
      <formula>COUNTIF(Checklist!$A758, "TRUE") = 1</formula>
    </cfRule>
  </conditionalFormatting>
  <conditionalFormatting sqref="I101">
    <cfRule type="expression" dxfId="0" priority="1543">
      <formula>COUNTIF(Checklist!$A764, "TRUE") = 1</formula>
    </cfRule>
  </conditionalFormatting>
  <conditionalFormatting sqref="I102">
    <cfRule type="expression" dxfId="0" priority="1549">
      <formula>COUNTIF(Checklist!$A770, "TRUE") = 1</formula>
    </cfRule>
  </conditionalFormatting>
  <conditionalFormatting sqref="I103">
    <cfRule type="expression" dxfId="0" priority="1555">
      <formula>COUNTIF(Checklist!$A776, "TRUE") = 1</formula>
    </cfRule>
  </conditionalFormatting>
  <conditionalFormatting sqref="I107">
    <cfRule type="expression" dxfId="0" priority="1651">
      <formula>COUNTIF(Checklist!$A812, "TRUE") = 1</formula>
    </cfRule>
  </conditionalFormatting>
  <conditionalFormatting sqref="I108">
    <cfRule type="expression" dxfId="0" priority="1657">
      <formula>COUNTIF(Checklist!$A818, "TRUE") = 1</formula>
    </cfRule>
  </conditionalFormatting>
  <conditionalFormatting sqref="I109">
    <cfRule type="expression" dxfId="0" priority="1663">
      <formula>COUNTIF(Checklist!$A824, "TRUE") = 1</formula>
    </cfRule>
  </conditionalFormatting>
  <conditionalFormatting sqref="I11">
    <cfRule type="expression" dxfId="0" priority="211">
      <formula>COUNTIF(Checklist!$A92, "TRUE") = 1</formula>
    </cfRule>
  </conditionalFormatting>
  <conditionalFormatting sqref="I110">
    <cfRule type="expression" dxfId="0" priority="1669">
      <formula>COUNTIF(Checklist!$A830, "TRUE") = 1</formula>
    </cfRule>
  </conditionalFormatting>
  <conditionalFormatting sqref="I111">
    <cfRule type="expression" dxfId="0" priority="1675">
      <formula>COUNTIF(Checklist!$A836, "TRUE") = 1</formula>
    </cfRule>
  </conditionalFormatting>
  <conditionalFormatting sqref="I115">
    <cfRule type="expression" dxfId="0" priority="1771">
      <formula>COUNTIF(Checklist!$A872, "TRUE") = 1</formula>
    </cfRule>
  </conditionalFormatting>
  <conditionalFormatting sqref="I116">
    <cfRule type="expression" dxfId="0" priority="1777">
      <formula>COUNTIF(Checklist!$None, "TRUE") = 1</formula>
    </cfRule>
  </conditionalFormatting>
  <conditionalFormatting sqref="I117">
    <cfRule type="expression" dxfId="0" priority="1783">
      <formula>COUNTIF(Checklist!$A884, "TRUE") = 1</formula>
    </cfRule>
  </conditionalFormatting>
  <conditionalFormatting sqref="I118">
    <cfRule type="expression" dxfId="0" priority="1789">
      <formula>COUNTIF(Checklist!$A890, "TRUE") = 1</formula>
    </cfRule>
  </conditionalFormatting>
  <conditionalFormatting sqref="I119">
    <cfRule type="expression" dxfId="0" priority="1795">
      <formula>COUNTIF(Checklist!$A896, "TRUE") = 1</formula>
    </cfRule>
  </conditionalFormatting>
  <conditionalFormatting sqref="I12">
    <cfRule type="expression" dxfId="0" priority="217">
      <formula>COUNTIF(Checklist!$A98, "TRUE") = 1</formula>
    </cfRule>
  </conditionalFormatting>
  <conditionalFormatting sqref="I123">
    <cfRule type="expression" dxfId="0" priority="1816">
      <formula>COUNTIF(Checklist!$None, "TRUE") = 1</formula>
    </cfRule>
  </conditionalFormatting>
  <conditionalFormatting sqref="I124">
    <cfRule type="expression" dxfId="0" priority="1822">
      <formula>COUNTIF(Checklist!$None, "TRUE") = 1</formula>
    </cfRule>
  </conditionalFormatting>
  <conditionalFormatting sqref="I125">
    <cfRule type="expression" dxfId="0" priority="1828">
      <formula>COUNTIF(Checklist!$None, "TRUE") = 1</formula>
    </cfRule>
  </conditionalFormatting>
  <conditionalFormatting sqref="I126">
    <cfRule type="expression" dxfId="0" priority="1834">
      <formula>COUNTIF(Checklist!$None, "TRUE") = 1</formula>
    </cfRule>
  </conditionalFormatting>
  <conditionalFormatting sqref="I127">
    <cfRule type="expression" dxfId="0" priority="1840">
      <formula>COUNTIF(Checklist!$None, "TRUE") = 1</formula>
    </cfRule>
  </conditionalFormatting>
  <conditionalFormatting sqref="I13">
    <cfRule type="expression" dxfId="0" priority="223">
      <formula>COUNTIF(Checklist!$A104, "TRUE") = 1</formula>
    </cfRule>
  </conditionalFormatting>
  <conditionalFormatting sqref="I131">
    <cfRule type="expression" dxfId="0" priority="1936">
      <formula>COUNTIF(Checklist!$None, "TRUE") = 1</formula>
    </cfRule>
  </conditionalFormatting>
  <conditionalFormatting sqref="I132">
    <cfRule type="expression" dxfId="0" priority="1942">
      <formula>COUNTIF(Checklist!$None, "TRUE") = 1</formula>
    </cfRule>
  </conditionalFormatting>
  <conditionalFormatting sqref="I133">
    <cfRule type="expression" dxfId="0" priority="1948">
      <formula>COUNTIF(Checklist!$None, "TRUE") = 1</formula>
    </cfRule>
  </conditionalFormatting>
  <conditionalFormatting sqref="I134">
    <cfRule type="expression" dxfId="0" priority="1954">
      <formula>COUNTIF(Checklist!$None, "TRUE") = 1</formula>
    </cfRule>
  </conditionalFormatting>
  <conditionalFormatting sqref="I135">
    <cfRule type="expression" dxfId="0" priority="1960">
      <formula>COUNTIF(Checklist!$None, "TRUE") = 1</formula>
    </cfRule>
  </conditionalFormatting>
  <conditionalFormatting sqref="I139">
    <cfRule type="expression" dxfId="0" priority="2002">
      <formula>COUNTIF(Checklist!$None, "TRUE") = 1</formula>
    </cfRule>
  </conditionalFormatting>
  <conditionalFormatting sqref="I14">
    <cfRule type="expression" dxfId="0" priority="229">
      <formula>COUNTIF(Checklist!$A110, "TRUE") = 1</formula>
    </cfRule>
  </conditionalFormatting>
  <conditionalFormatting sqref="I140">
    <cfRule type="expression" dxfId="0" priority="2008">
      <formula>COUNTIF(Checklist!$None, "TRUE") = 1</formula>
    </cfRule>
  </conditionalFormatting>
  <conditionalFormatting sqref="I147">
    <cfRule type="expression" dxfId="0" priority="2095">
      <formula>COUNTIF(Checklist!$None, "TRUE") = 1</formula>
    </cfRule>
  </conditionalFormatting>
  <conditionalFormatting sqref="I148">
    <cfRule type="expression" dxfId="0" priority="2101">
      <formula>COUNTIF(Checklist!$A413, "TRUE") = 1</formula>
    </cfRule>
  </conditionalFormatting>
  <conditionalFormatting sqref="I149">
    <cfRule type="expression" dxfId="0" priority="2107">
      <formula>COUNTIF(Checklist!$None, "TRUE") = 1</formula>
    </cfRule>
  </conditionalFormatting>
  <conditionalFormatting sqref="I15">
    <cfRule type="expression" dxfId="0" priority="235">
      <formula>COUNTIF(Checklist!$A116, "TRUE") = 1</formula>
    </cfRule>
  </conditionalFormatting>
  <conditionalFormatting sqref="I150">
    <cfRule type="expression" dxfId="0" priority="2113">
      <formula>COUNTIF(Checklist!$A480, "TRUE") = 1</formula>
    </cfRule>
  </conditionalFormatting>
  <conditionalFormatting sqref="I151">
    <cfRule type="expression" dxfId="0" priority="2119">
      <formula>COUNTIF(Checklist!$None, "TRUE") = 1</formula>
    </cfRule>
  </conditionalFormatting>
  <conditionalFormatting sqref="I155">
    <cfRule type="expression" dxfId="0" priority="2199">
      <formula>COUNTIF(Checklist!$None, "TRUE") = 1</formula>
    </cfRule>
  </conditionalFormatting>
  <conditionalFormatting sqref="I156">
    <cfRule type="expression" dxfId="0" priority="2205">
      <formula>COUNTIF(Checklist!$None, "TRUE") = 1</formula>
    </cfRule>
  </conditionalFormatting>
  <conditionalFormatting sqref="I157">
    <cfRule type="expression" dxfId="0" priority="2211">
      <formula>COUNTIF(Checklist!$A677, "TRUE") = 1</formula>
    </cfRule>
  </conditionalFormatting>
  <conditionalFormatting sqref="I158">
    <cfRule type="expression" dxfId="0" priority="2217">
      <formula>COUNTIF(Checklist!$None, "TRUE") = 1</formula>
    </cfRule>
  </conditionalFormatting>
  <conditionalFormatting sqref="I163">
    <cfRule type="expression" dxfId="0" priority="2312">
      <formula>COUNTIF(Checklist!$A667, "TRUE") = 1</formula>
    </cfRule>
  </conditionalFormatting>
  <conditionalFormatting sqref="I164">
    <cfRule type="expression" dxfId="0" priority="2318">
      <formula>COUNTIF(Checklist!$None, "TRUE") = 1</formula>
    </cfRule>
  </conditionalFormatting>
  <conditionalFormatting sqref="I165">
    <cfRule type="expression" dxfId="0" priority="2324">
      <formula>COUNTIF(Checklist!$None, "TRUE") = 1</formula>
    </cfRule>
  </conditionalFormatting>
  <conditionalFormatting sqref="I166">
    <cfRule type="expression" dxfId="0" priority="2330">
      <formula>COUNTIF(Checklist!$None, "TRUE") = 1</formula>
    </cfRule>
  </conditionalFormatting>
  <conditionalFormatting sqref="I171">
    <cfRule type="expression" dxfId="0" priority="2395">
      <formula>COUNTIF(Checklist!$None, "TRUE") = 1</formula>
    </cfRule>
  </conditionalFormatting>
  <conditionalFormatting sqref="I172">
    <cfRule type="expression" dxfId="0" priority="2401">
      <formula>COUNTIF(Checklist!$A855, "TRUE") = 1</formula>
    </cfRule>
  </conditionalFormatting>
  <conditionalFormatting sqref="I173">
    <cfRule type="expression" dxfId="0" priority="2407">
      <formula>COUNTIF(Checklist!$None, "TRUE") = 1</formula>
    </cfRule>
  </conditionalFormatting>
  <conditionalFormatting sqref="I174">
    <cfRule type="expression" dxfId="0" priority="2413">
      <formula>COUNTIF(Checklist!$A894, "TRUE") = 1</formula>
    </cfRule>
  </conditionalFormatting>
  <conditionalFormatting sqref="I175">
    <cfRule type="expression" dxfId="0" priority="2419">
      <formula>COUNTIF(Checklist!$None, "TRUE") = 1</formula>
    </cfRule>
  </conditionalFormatting>
  <conditionalFormatting sqref="I179">
    <cfRule type="expression" dxfId="0" priority="2506">
      <formula>COUNTIF(Checklist!$None, "TRUE") = 1</formula>
    </cfRule>
  </conditionalFormatting>
  <conditionalFormatting sqref="I180">
    <cfRule type="expression" dxfId="0" priority="2512">
      <formula>COUNTIF(Checklist!$None, "TRUE") = 1</formula>
    </cfRule>
  </conditionalFormatting>
  <conditionalFormatting sqref="I181">
    <cfRule type="expression" dxfId="0" priority="2518">
      <formula>COUNTIF(Checklist!$None, "TRUE") = 1</formula>
    </cfRule>
  </conditionalFormatting>
  <conditionalFormatting sqref="I182">
    <cfRule type="expression" dxfId="0" priority="2524">
      <formula>COUNTIF(Checklist!$None, "TRUE") = 1</formula>
    </cfRule>
  </conditionalFormatting>
  <conditionalFormatting sqref="I183">
    <cfRule type="expression" dxfId="0" priority="2530">
      <formula>COUNTIF(Checklist!$None, "TRUE") = 1</formula>
    </cfRule>
  </conditionalFormatting>
  <conditionalFormatting sqref="I187">
    <cfRule type="expression" dxfId="0" priority="2555">
      <formula>COUNTIF(Checklist!$A4, "TRUE") = 1</formula>
    </cfRule>
  </conditionalFormatting>
  <conditionalFormatting sqref="I188">
    <cfRule type="expression" dxfId="0" priority="2561">
      <formula>COUNTIF(Checklist!$A26, "TRUE") = 1</formula>
    </cfRule>
  </conditionalFormatting>
  <conditionalFormatting sqref="I189">
    <cfRule type="expression" dxfId="0" priority="2567">
      <formula>COUNTIF(Checklist!$A132, "TRUE") = 1</formula>
    </cfRule>
  </conditionalFormatting>
  <conditionalFormatting sqref="I19">
    <cfRule type="expression" dxfId="0" priority="331">
      <formula>COUNTIF(Checklist!$A152, "TRUE") = 1</formula>
    </cfRule>
  </conditionalFormatting>
  <conditionalFormatting sqref="I190">
    <cfRule type="expression" dxfId="0" priority="2573">
      <formula>COUNTIF(Checklist!$A813, "TRUE") = 1</formula>
    </cfRule>
  </conditionalFormatting>
  <conditionalFormatting sqref="I191">
    <cfRule type="expression" dxfId="0" priority="2579">
      <formula>COUNTIF(Checklist!$A840, "TRUE") = 1</formula>
    </cfRule>
  </conditionalFormatting>
  <conditionalFormatting sqref="I20">
    <cfRule type="expression" dxfId="0" priority="337">
      <formula>COUNTIF(Checklist!$A158, "TRUE") = 1</formula>
    </cfRule>
  </conditionalFormatting>
  <conditionalFormatting sqref="I203">
    <cfRule type="expression" dxfId="0" priority="2663">
      <formula>COUNTIF(Checklist!$A1172, "TRUE") = 1</formula>
    </cfRule>
  </conditionalFormatting>
  <conditionalFormatting sqref="I204">
    <cfRule type="expression" dxfId="0" priority="2669">
      <formula>COUNTIF(Checklist!$A1178, "TRUE") = 1</formula>
    </cfRule>
  </conditionalFormatting>
  <conditionalFormatting sqref="I205">
    <cfRule type="expression" dxfId="0" priority="2675">
      <formula>COUNTIF(Checklist!$A1184, "TRUE") = 1</formula>
    </cfRule>
  </conditionalFormatting>
  <conditionalFormatting sqref="I206">
    <cfRule type="expression" dxfId="0" priority="2681">
      <formula>COUNTIF(Checklist!$A1191, "TRUE") = 1</formula>
    </cfRule>
  </conditionalFormatting>
  <conditionalFormatting sqref="I21">
    <cfRule type="expression" dxfId="0" priority="343">
      <formula>COUNTIF(Checklist!$A164, "TRUE") = 1</formula>
    </cfRule>
  </conditionalFormatting>
  <conditionalFormatting sqref="I22">
    <cfRule type="expression" dxfId="0" priority="349">
      <formula>COUNTIF(Checklist!$A170, "TRUE") = 1</formula>
    </cfRule>
  </conditionalFormatting>
  <conditionalFormatting sqref="I23">
    <cfRule type="expression" dxfId="0" priority="355">
      <formula>COUNTIF(Checklist!$A176, "TRUE") = 1</formula>
    </cfRule>
  </conditionalFormatting>
  <conditionalFormatting sqref="I27">
    <cfRule type="expression" dxfId="0" priority="451">
      <formula>COUNTIF(Checklist!$A212, "TRUE") = 1</formula>
    </cfRule>
  </conditionalFormatting>
  <conditionalFormatting sqref="I28">
    <cfRule type="expression" dxfId="0" priority="457">
      <formula>COUNTIF(Checklist!$A218, "TRUE") = 1</formula>
    </cfRule>
  </conditionalFormatting>
  <conditionalFormatting sqref="I29">
    <cfRule type="expression" dxfId="0" priority="463">
      <formula>COUNTIF(Checklist!$A224, "TRUE") = 1</formula>
    </cfRule>
  </conditionalFormatting>
  <conditionalFormatting sqref="I3">
    <cfRule type="expression" dxfId="0" priority="91">
      <formula>COUNTIF(Checklist!$A32, "TRUE") = 1</formula>
    </cfRule>
  </conditionalFormatting>
  <conditionalFormatting sqref="I30">
    <cfRule type="expression" dxfId="0" priority="469">
      <formula>COUNTIF(Checklist!$A230, "TRUE") = 1</formula>
    </cfRule>
  </conditionalFormatting>
  <conditionalFormatting sqref="I31">
    <cfRule type="expression" dxfId="0" priority="475">
      <formula>COUNTIF(Checklist!$A236, "TRUE") = 1</formula>
    </cfRule>
  </conditionalFormatting>
  <conditionalFormatting sqref="I35">
    <cfRule type="expression" dxfId="0" priority="571">
      <formula>COUNTIF(Checklist!$A272, "TRUE") = 1</formula>
    </cfRule>
  </conditionalFormatting>
  <conditionalFormatting sqref="I36">
    <cfRule type="expression" dxfId="0" priority="577">
      <formula>COUNTIF(Checklist!$A278, "TRUE") = 1</formula>
    </cfRule>
  </conditionalFormatting>
  <conditionalFormatting sqref="I37">
    <cfRule type="expression" dxfId="0" priority="583">
      <formula>COUNTIF(Checklist!$A284, "TRUE") = 1</formula>
    </cfRule>
  </conditionalFormatting>
  <conditionalFormatting sqref="I38">
    <cfRule type="expression" dxfId="0" priority="589">
      <formula>COUNTIF(Checklist!$A290, "TRUE") = 1</formula>
    </cfRule>
  </conditionalFormatting>
  <conditionalFormatting sqref="I39">
    <cfRule type="expression" dxfId="0" priority="595">
      <formula>COUNTIF(Checklist!$A296, "TRUE") = 1</formula>
    </cfRule>
  </conditionalFormatting>
  <conditionalFormatting sqref="I4">
    <cfRule type="expression" dxfId="0" priority="97">
      <formula>COUNTIF(Checklist!$A38, "TRUE") = 1</formula>
    </cfRule>
  </conditionalFormatting>
  <conditionalFormatting sqref="I43">
    <cfRule type="expression" dxfId="0" priority="691">
      <formula>COUNTIF(Checklist!$A332, "TRUE") = 1</formula>
    </cfRule>
  </conditionalFormatting>
  <conditionalFormatting sqref="I44">
    <cfRule type="expression" dxfId="0" priority="697">
      <formula>COUNTIF(Checklist!$A338, "TRUE") = 1</formula>
    </cfRule>
  </conditionalFormatting>
  <conditionalFormatting sqref="I45">
    <cfRule type="expression" dxfId="0" priority="703">
      <formula>COUNTIF(Checklist!$A344, "TRUE") = 1</formula>
    </cfRule>
  </conditionalFormatting>
  <conditionalFormatting sqref="I46">
    <cfRule type="expression" dxfId="0" priority="709">
      <formula>COUNTIF(Checklist!$A350, "TRUE") = 1</formula>
    </cfRule>
  </conditionalFormatting>
  <conditionalFormatting sqref="I47">
    <cfRule type="expression" dxfId="0" priority="715">
      <formula>COUNTIF(Checklist!$A356, "TRUE") = 1</formula>
    </cfRule>
  </conditionalFormatting>
  <conditionalFormatting sqref="I5">
    <cfRule type="expression" dxfId="0" priority="103">
      <formula>COUNTIF(Checklist!$A44, "TRUE") = 1</formula>
    </cfRule>
  </conditionalFormatting>
  <conditionalFormatting sqref="I51">
    <cfRule type="expression" dxfId="0" priority="811">
      <formula>COUNTIF(Checklist!$A392, "TRUE") = 1</formula>
    </cfRule>
  </conditionalFormatting>
  <conditionalFormatting sqref="I52">
    <cfRule type="expression" dxfId="0" priority="817">
      <formula>COUNTIF(Checklist!$A398, "TRUE") = 1</formula>
    </cfRule>
  </conditionalFormatting>
  <conditionalFormatting sqref="I53">
    <cfRule type="expression" dxfId="0" priority="823">
      <formula>COUNTIF(Checklist!$A404, "TRUE") = 1</formula>
    </cfRule>
  </conditionalFormatting>
  <conditionalFormatting sqref="I54">
    <cfRule type="expression" dxfId="0" priority="829">
      <formula>COUNTIF(Checklist!$A410, "TRUE") = 1</formula>
    </cfRule>
  </conditionalFormatting>
  <conditionalFormatting sqref="I55">
    <cfRule type="expression" dxfId="0" priority="835">
      <formula>COUNTIF(Checklist!$A416, "TRUE") = 1</formula>
    </cfRule>
  </conditionalFormatting>
  <conditionalFormatting sqref="I59">
    <cfRule type="expression" dxfId="0" priority="931">
      <formula>COUNTIF(Checklist!$A452, "TRUE") = 1</formula>
    </cfRule>
  </conditionalFormatting>
  <conditionalFormatting sqref="I6">
    <cfRule type="expression" dxfId="0" priority="109">
      <formula>COUNTIF(Checklist!$A50, "TRUE") = 1</formula>
    </cfRule>
  </conditionalFormatting>
  <conditionalFormatting sqref="I60">
    <cfRule type="expression" dxfId="0" priority="937">
      <formula>COUNTIF(Checklist!$A458, "TRUE") = 1</formula>
    </cfRule>
  </conditionalFormatting>
  <conditionalFormatting sqref="I61">
    <cfRule type="expression" dxfId="0" priority="943">
      <formula>COUNTIF(Checklist!$A464, "TRUE") = 1</formula>
    </cfRule>
  </conditionalFormatting>
  <conditionalFormatting sqref="I62">
    <cfRule type="expression" dxfId="0" priority="949">
      <formula>COUNTIF(Checklist!$A470, "TRUE") = 1</formula>
    </cfRule>
  </conditionalFormatting>
  <conditionalFormatting sqref="I63">
    <cfRule type="expression" dxfId="0" priority="955">
      <formula>COUNTIF(Checklist!$A476, "TRUE") = 1</formula>
    </cfRule>
  </conditionalFormatting>
  <conditionalFormatting sqref="I67">
    <cfRule type="expression" dxfId="0" priority="1051">
      <formula>COUNTIF(Checklist!$A512, "TRUE") = 1</formula>
    </cfRule>
  </conditionalFormatting>
  <conditionalFormatting sqref="I68">
    <cfRule type="expression" dxfId="0" priority="1057">
      <formula>COUNTIF(Checklist!$A518, "TRUE") = 1</formula>
    </cfRule>
  </conditionalFormatting>
  <conditionalFormatting sqref="I69">
    <cfRule type="expression" dxfId="0" priority="1063">
      <formula>COUNTIF(Checklist!$A524, "TRUE") = 1</formula>
    </cfRule>
  </conditionalFormatting>
  <conditionalFormatting sqref="I7">
    <cfRule type="expression" dxfId="0" priority="115">
      <formula>COUNTIF(Checklist!$A56, "TRUE") = 1</formula>
    </cfRule>
  </conditionalFormatting>
  <conditionalFormatting sqref="I70">
    <cfRule type="expression" dxfId="0" priority="1069">
      <formula>COUNTIF(Checklist!$A530, "TRUE") = 1</formula>
    </cfRule>
  </conditionalFormatting>
  <conditionalFormatting sqref="I71">
    <cfRule type="expression" dxfId="0" priority="1075">
      <formula>COUNTIF(Checklist!$A536, "TRUE") = 1</formula>
    </cfRule>
  </conditionalFormatting>
  <conditionalFormatting sqref="I75">
    <cfRule type="expression" dxfId="0" priority="1171">
      <formula>COUNTIF(Checklist!$A572, "TRUE") = 1</formula>
    </cfRule>
  </conditionalFormatting>
  <conditionalFormatting sqref="I76">
    <cfRule type="expression" dxfId="0" priority="1177">
      <formula>COUNTIF(Checklist!$A578, "TRUE") = 1</formula>
    </cfRule>
  </conditionalFormatting>
  <conditionalFormatting sqref="I77">
    <cfRule type="expression" dxfId="0" priority="1183">
      <formula>COUNTIF(Checklist!$A584, "TRUE") = 1</formula>
    </cfRule>
  </conditionalFormatting>
  <conditionalFormatting sqref="I78">
    <cfRule type="expression" dxfId="0" priority="1189">
      <formula>COUNTIF(Checklist!$A590, "TRUE") = 1</formula>
    </cfRule>
  </conditionalFormatting>
  <conditionalFormatting sqref="I79">
    <cfRule type="expression" dxfId="0" priority="1195">
      <formula>COUNTIF(Checklist!$A596, "TRUE") = 1</formula>
    </cfRule>
  </conditionalFormatting>
  <conditionalFormatting sqref="I83">
    <cfRule type="expression" dxfId="0" priority="1291">
      <formula>COUNTIF(Checklist!$A632, "TRUE") = 1</formula>
    </cfRule>
  </conditionalFormatting>
  <conditionalFormatting sqref="I84">
    <cfRule type="expression" dxfId="0" priority="1297">
      <formula>COUNTIF(Checklist!$A638, "TRUE") = 1</formula>
    </cfRule>
  </conditionalFormatting>
  <conditionalFormatting sqref="I85">
    <cfRule type="expression" dxfId="0" priority="1303">
      <formula>COUNTIF(Checklist!$A644, "TRUE") = 1</formula>
    </cfRule>
  </conditionalFormatting>
  <conditionalFormatting sqref="I86">
    <cfRule type="expression" dxfId="0" priority="1309">
      <formula>COUNTIF(Checklist!$A650, "TRUE") = 1</formula>
    </cfRule>
  </conditionalFormatting>
  <conditionalFormatting sqref="I87">
    <cfRule type="expression" dxfId="0" priority="1315">
      <formula>COUNTIF(Checklist!$A656, "TRUE") = 1</formula>
    </cfRule>
  </conditionalFormatting>
  <conditionalFormatting sqref="I91">
    <cfRule type="expression" dxfId="0" priority="1411">
      <formula>COUNTIF(Checklist!$A692, "TRUE") = 1</formula>
    </cfRule>
  </conditionalFormatting>
  <conditionalFormatting sqref="I92">
    <cfRule type="expression" dxfId="0" priority="1417">
      <formula>COUNTIF(Checklist!$A698, "TRUE") = 1</formula>
    </cfRule>
  </conditionalFormatting>
  <conditionalFormatting sqref="I93">
    <cfRule type="expression" dxfId="0" priority="1423">
      <formula>COUNTIF(Checklist!$A704, "TRUE") = 1</formula>
    </cfRule>
  </conditionalFormatting>
  <conditionalFormatting sqref="I94">
    <cfRule type="expression" dxfId="0" priority="1429">
      <formula>COUNTIF(Checklist!$A710, "TRUE") = 1</formula>
    </cfRule>
  </conditionalFormatting>
  <conditionalFormatting sqref="I95">
    <cfRule type="expression" dxfId="0" priority="1435">
      <formula>COUNTIF(Checklist!$A716, "TRUE") = 1</formula>
    </cfRule>
  </conditionalFormatting>
  <conditionalFormatting sqref="I99">
    <cfRule type="expression" dxfId="0" priority="1531">
      <formula>COUNTIF(Checklist!$A752, "TRUE") = 1</formula>
    </cfRule>
  </conditionalFormatting>
  <conditionalFormatting sqref="J100">
    <cfRule type="expression" dxfId="0" priority="1538">
      <formula>COUNTIF(Checklist!$A759, "TRUE") = 1</formula>
    </cfRule>
  </conditionalFormatting>
  <conditionalFormatting sqref="J101">
    <cfRule type="expression" dxfId="0" priority="1544">
      <formula>COUNTIF(Checklist!$A765, "TRUE") = 1</formula>
    </cfRule>
  </conditionalFormatting>
  <conditionalFormatting sqref="J102">
    <cfRule type="expression" dxfId="0" priority="1550">
      <formula>COUNTIF(Checklist!$A771, "TRUE") = 1</formula>
    </cfRule>
  </conditionalFormatting>
  <conditionalFormatting sqref="J103">
    <cfRule type="expression" dxfId="0" priority="1556">
      <formula>COUNTIF(Checklist!$A777, "TRUE") = 1</formula>
    </cfRule>
  </conditionalFormatting>
  <conditionalFormatting sqref="J107">
    <cfRule type="expression" dxfId="0" priority="1652">
      <formula>COUNTIF(Checklist!$A813, "TRUE") = 1</formula>
    </cfRule>
  </conditionalFormatting>
  <conditionalFormatting sqref="J108">
    <cfRule type="expression" dxfId="0" priority="1658">
      <formula>COUNTIF(Checklist!$A819, "TRUE") = 1</formula>
    </cfRule>
  </conditionalFormatting>
  <conditionalFormatting sqref="J109">
    <cfRule type="expression" dxfId="0" priority="1664">
      <formula>COUNTIF(Checklist!$A825, "TRUE") = 1</formula>
    </cfRule>
  </conditionalFormatting>
  <conditionalFormatting sqref="J11">
    <cfRule type="expression" dxfId="0" priority="212">
      <formula>COUNTIF(Checklist!$A93, "TRUE") = 1</formula>
    </cfRule>
  </conditionalFormatting>
  <conditionalFormatting sqref="J110">
    <cfRule type="expression" dxfId="0" priority="1670">
      <formula>COUNTIF(Checklist!$A831, "TRUE") = 1</formula>
    </cfRule>
  </conditionalFormatting>
  <conditionalFormatting sqref="J111">
    <cfRule type="expression" dxfId="0" priority="1676">
      <formula>COUNTIF(Checklist!$A837, "TRUE") = 1</formula>
    </cfRule>
  </conditionalFormatting>
  <conditionalFormatting sqref="J115">
    <cfRule type="expression" dxfId="0" priority="1772">
      <formula>COUNTIF(Checklist!$A873, "TRUE") = 1</formula>
    </cfRule>
  </conditionalFormatting>
  <conditionalFormatting sqref="J116">
    <cfRule type="expression" dxfId="0" priority="1778">
      <formula>COUNTIF(Checklist!$A879, "TRUE") = 1</formula>
    </cfRule>
  </conditionalFormatting>
  <conditionalFormatting sqref="J117">
    <cfRule type="expression" dxfId="0" priority="1784">
      <formula>COUNTIF(Checklist!$A885, "TRUE") = 1</formula>
    </cfRule>
  </conditionalFormatting>
  <conditionalFormatting sqref="J118">
    <cfRule type="expression" dxfId="0" priority="1790">
      <formula>COUNTIF(Checklist!$A891, "TRUE") = 1</formula>
    </cfRule>
  </conditionalFormatting>
  <conditionalFormatting sqref="J119">
    <cfRule type="expression" dxfId="0" priority="1796">
      <formula>COUNTIF(Checklist!$A897, "TRUE") = 1</formula>
    </cfRule>
  </conditionalFormatting>
  <conditionalFormatting sqref="J12">
    <cfRule type="expression" dxfId="0" priority="218">
      <formula>COUNTIF(Checklist!$A99, "TRUE") = 1</formula>
    </cfRule>
  </conditionalFormatting>
  <conditionalFormatting sqref="J123">
    <cfRule type="expression" dxfId="0" priority="1817">
      <formula>COUNTIF(Checklist!$None, "TRUE") = 1</formula>
    </cfRule>
  </conditionalFormatting>
  <conditionalFormatting sqref="J124">
    <cfRule type="expression" dxfId="0" priority="1823">
      <formula>COUNTIF(Checklist!$None, "TRUE") = 1</formula>
    </cfRule>
  </conditionalFormatting>
  <conditionalFormatting sqref="J125">
    <cfRule type="expression" dxfId="0" priority="1829">
      <formula>COUNTIF(Checklist!$None, "TRUE") = 1</formula>
    </cfRule>
  </conditionalFormatting>
  <conditionalFormatting sqref="J126">
    <cfRule type="expression" dxfId="0" priority="1835">
      <formula>COUNTIF(Checklist!$None, "TRUE") = 1</formula>
    </cfRule>
  </conditionalFormatting>
  <conditionalFormatting sqref="J127">
    <cfRule type="expression" dxfId="0" priority="1841">
      <formula>COUNTIF(Checklist!$None, "TRUE") = 1</formula>
    </cfRule>
  </conditionalFormatting>
  <conditionalFormatting sqref="J13">
    <cfRule type="expression" dxfId="0" priority="224">
      <formula>COUNTIF(Checklist!$A105, "TRUE") = 1</formula>
    </cfRule>
  </conditionalFormatting>
  <conditionalFormatting sqref="J131">
    <cfRule type="expression" dxfId="0" priority="1937">
      <formula>COUNTIF(Checklist!$None, "TRUE") = 1</formula>
    </cfRule>
  </conditionalFormatting>
  <conditionalFormatting sqref="J132">
    <cfRule type="expression" dxfId="0" priority="1943">
      <formula>COUNTIF(Checklist!$None, "TRUE") = 1</formula>
    </cfRule>
  </conditionalFormatting>
  <conditionalFormatting sqref="J133">
    <cfRule type="expression" dxfId="0" priority="1949">
      <formula>COUNTIF(Checklist!$None, "TRUE") = 1</formula>
    </cfRule>
  </conditionalFormatting>
  <conditionalFormatting sqref="J134">
    <cfRule type="expression" dxfId="0" priority="1955">
      <formula>COUNTIF(Checklist!$None, "TRUE") = 1</formula>
    </cfRule>
  </conditionalFormatting>
  <conditionalFormatting sqref="J135">
    <cfRule type="expression" dxfId="0" priority="1961">
      <formula>COUNTIF(Checklist!$None, "TRUE") = 1</formula>
    </cfRule>
  </conditionalFormatting>
  <conditionalFormatting sqref="J139">
    <cfRule type="expression" dxfId="0" priority="2003">
      <formula>COUNTIF(Checklist!$None, "TRUE") = 1</formula>
    </cfRule>
  </conditionalFormatting>
  <conditionalFormatting sqref="J14">
    <cfRule type="expression" dxfId="0" priority="230">
      <formula>COUNTIF(Checklist!$A111, "TRUE") = 1</formula>
    </cfRule>
  </conditionalFormatting>
  <conditionalFormatting sqref="J140">
    <cfRule type="expression" dxfId="0" priority="2009">
      <formula>COUNTIF(Checklist!$None, "TRUE") = 1</formula>
    </cfRule>
  </conditionalFormatting>
  <conditionalFormatting sqref="J147">
    <cfRule type="expression" dxfId="0" priority="2096">
      <formula>COUNTIF(Checklist!$A1012, "TRUE") = 1</formula>
    </cfRule>
  </conditionalFormatting>
  <conditionalFormatting sqref="J148">
    <cfRule type="expression" dxfId="0" priority="2102">
      <formula>COUNTIF(Checklist!$None, "TRUE") = 1</formula>
    </cfRule>
  </conditionalFormatting>
  <conditionalFormatting sqref="J149">
    <cfRule type="expression" dxfId="0" priority="2108">
      <formula>COUNTIF(Checklist!$A1015, "TRUE") = 1</formula>
    </cfRule>
  </conditionalFormatting>
  <conditionalFormatting sqref="J15">
    <cfRule type="expression" dxfId="0" priority="236">
      <formula>COUNTIF(Checklist!$A117, "TRUE") = 1</formula>
    </cfRule>
  </conditionalFormatting>
  <conditionalFormatting sqref="J150">
    <cfRule type="expression" dxfId="0" priority="2114">
      <formula>COUNTIF(Checklist!$A1019, "TRUE") = 1</formula>
    </cfRule>
  </conditionalFormatting>
  <conditionalFormatting sqref="J151">
    <cfRule type="expression" dxfId="0" priority="2120">
      <formula>COUNTIF(Checklist!$A1017, "TRUE") = 1</formula>
    </cfRule>
  </conditionalFormatting>
  <conditionalFormatting sqref="J155">
    <cfRule type="expression" dxfId="0" priority="2200">
      <formula>COUNTIF(Checklist!$A1038, "TRUE") = 1</formula>
    </cfRule>
  </conditionalFormatting>
  <conditionalFormatting sqref="J156">
    <cfRule type="expression" dxfId="0" priority="2206">
      <formula>COUNTIF(Checklist!$A1041, "TRUE") = 1</formula>
    </cfRule>
  </conditionalFormatting>
  <conditionalFormatting sqref="J157">
    <cfRule type="expression" dxfId="0" priority="2212">
      <formula>COUNTIF(Checklist!$None, "TRUE") = 1</formula>
    </cfRule>
  </conditionalFormatting>
  <conditionalFormatting sqref="J158">
    <cfRule type="expression" dxfId="0" priority="2218">
      <formula>COUNTIF(Checklist!$None, "TRUE") = 1</formula>
    </cfRule>
  </conditionalFormatting>
  <conditionalFormatting sqref="J163">
    <cfRule type="expression" dxfId="0" priority="2313">
      <formula>COUNTIF(Checklist!$None, "TRUE") = 1</formula>
    </cfRule>
  </conditionalFormatting>
  <conditionalFormatting sqref="J164">
    <cfRule type="expression" dxfId="0" priority="2319">
      <formula>COUNTIF(Checklist!$None, "TRUE") = 1</formula>
    </cfRule>
  </conditionalFormatting>
  <conditionalFormatting sqref="J165">
    <cfRule type="expression" dxfId="0" priority="2325">
      <formula>COUNTIF(Checklist!$None, "TRUE") = 1</formula>
    </cfRule>
  </conditionalFormatting>
  <conditionalFormatting sqref="J166">
    <cfRule type="expression" dxfId="0" priority="2331">
      <formula>COUNTIF(Checklist!$None, "TRUE") = 1</formula>
    </cfRule>
  </conditionalFormatting>
  <conditionalFormatting sqref="J171">
    <cfRule type="expression" dxfId="0" priority="2396">
      <formula>COUNTIF(Checklist!$A1195, "TRUE") = 1</formula>
    </cfRule>
  </conditionalFormatting>
  <conditionalFormatting sqref="J172">
    <cfRule type="expression" dxfId="0" priority="2402">
      <formula>COUNTIF(Checklist!$None, "TRUE") = 1</formula>
    </cfRule>
  </conditionalFormatting>
  <conditionalFormatting sqref="J173">
    <cfRule type="expression" dxfId="0" priority="2408">
      <formula>COUNTIF(Checklist!$A1202, "TRUE") = 1</formula>
    </cfRule>
  </conditionalFormatting>
  <conditionalFormatting sqref="J174">
    <cfRule type="expression" dxfId="0" priority="2414">
      <formula>COUNTIF(Checklist!$A1203, "TRUE") = 1</formula>
    </cfRule>
  </conditionalFormatting>
  <conditionalFormatting sqref="J175">
    <cfRule type="expression" dxfId="0" priority="2420">
      <formula>COUNTIF(Checklist!$A1260, "TRUE") = 1</formula>
    </cfRule>
  </conditionalFormatting>
  <conditionalFormatting sqref="J179">
    <cfRule type="expression" dxfId="0" priority="2507">
      <formula>COUNTIF(Checklist!$None, "TRUE") = 1</formula>
    </cfRule>
  </conditionalFormatting>
  <conditionalFormatting sqref="J180">
    <cfRule type="expression" dxfId="0" priority="2513">
      <formula>COUNTIF(Checklist!$None, "TRUE") = 1</formula>
    </cfRule>
  </conditionalFormatting>
  <conditionalFormatting sqref="J181">
    <cfRule type="expression" dxfId="0" priority="2519">
      <formula>COUNTIF(Checklist!$None, "TRUE") = 1</formula>
    </cfRule>
  </conditionalFormatting>
  <conditionalFormatting sqref="J182">
    <cfRule type="expression" dxfId="0" priority="2525">
      <formula>COUNTIF(Checklist!$None, "TRUE") = 1</formula>
    </cfRule>
  </conditionalFormatting>
  <conditionalFormatting sqref="J183">
    <cfRule type="expression" dxfId="0" priority="2531">
      <formula>COUNTIF(Checklist!$None, "TRUE") = 1</formula>
    </cfRule>
  </conditionalFormatting>
  <conditionalFormatting sqref="J187">
    <cfRule type="expression" dxfId="0" priority="2556">
      <formula>COUNTIF(Checklist!$None, "TRUE") = 1</formula>
    </cfRule>
  </conditionalFormatting>
  <conditionalFormatting sqref="J188">
    <cfRule type="expression" dxfId="0" priority="2562">
      <formula>COUNTIF(Checklist!$None, "TRUE") = 1</formula>
    </cfRule>
  </conditionalFormatting>
  <conditionalFormatting sqref="J189">
    <cfRule type="expression" dxfId="0" priority="2568">
      <formula>COUNTIF(Checklist!$A134, "TRUE") = 1</formula>
    </cfRule>
  </conditionalFormatting>
  <conditionalFormatting sqref="J19">
    <cfRule type="expression" dxfId="0" priority="332">
      <formula>COUNTIF(Checklist!$A153, "TRUE") = 1</formula>
    </cfRule>
  </conditionalFormatting>
  <conditionalFormatting sqref="J190">
    <cfRule type="expression" dxfId="0" priority="2574">
      <formula>COUNTIF(Checklist!$A816, "TRUE") = 1</formula>
    </cfRule>
  </conditionalFormatting>
  <conditionalFormatting sqref="J191">
    <cfRule type="expression" dxfId="0" priority="2580">
      <formula>COUNTIF(Checklist!$A842, "TRUE") = 1</formula>
    </cfRule>
  </conditionalFormatting>
  <conditionalFormatting sqref="J20">
    <cfRule type="expression" dxfId="0" priority="338">
      <formula>COUNTIF(Checklist!$A159, "TRUE") = 1</formula>
    </cfRule>
  </conditionalFormatting>
  <conditionalFormatting sqref="J203">
    <cfRule type="expression" dxfId="0" priority="2664">
      <formula>COUNTIF(Checklist!$A1173, "TRUE") = 1</formula>
    </cfRule>
  </conditionalFormatting>
  <conditionalFormatting sqref="J204">
    <cfRule type="expression" dxfId="0" priority="2670">
      <formula>COUNTIF(Checklist!$None, "TRUE") = 1</formula>
    </cfRule>
  </conditionalFormatting>
  <conditionalFormatting sqref="J205">
    <cfRule type="expression" dxfId="0" priority="2676">
      <formula>COUNTIF(Checklist!$A1185, "TRUE") = 1</formula>
    </cfRule>
  </conditionalFormatting>
  <conditionalFormatting sqref="J21">
    <cfRule type="expression" dxfId="0" priority="344">
      <formula>COUNTIF(Checklist!$A165, "TRUE") = 1</formula>
    </cfRule>
  </conditionalFormatting>
  <conditionalFormatting sqref="J22">
    <cfRule type="expression" dxfId="0" priority="350">
      <formula>COUNTIF(Checklist!$A171, "TRUE") = 1</formula>
    </cfRule>
  </conditionalFormatting>
  <conditionalFormatting sqref="J23">
    <cfRule type="expression" dxfId="0" priority="356">
      <formula>COUNTIF(Checklist!$A177, "TRUE") = 1</formula>
    </cfRule>
  </conditionalFormatting>
  <conditionalFormatting sqref="J27">
    <cfRule type="expression" dxfId="0" priority="452">
      <formula>COUNTIF(Checklist!$A213, "TRUE") = 1</formula>
    </cfRule>
  </conditionalFormatting>
  <conditionalFormatting sqref="J28">
    <cfRule type="expression" dxfId="0" priority="458">
      <formula>COUNTIF(Checklist!$A219, "TRUE") = 1</formula>
    </cfRule>
  </conditionalFormatting>
  <conditionalFormatting sqref="J29">
    <cfRule type="expression" dxfId="0" priority="464">
      <formula>COUNTIF(Checklist!$A225, "TRUE") = 1</formula>
    </cfRule>
  </conditionalFormatting>
  <conditionalFormatting sqref="J3">
    <cfRule type="expression" dxfId="0" priority="92">
      <formula>COUNTIF(Checklist!$None, "TRUE") = 1</formula>
    </cfRule>
  </conditionalFormatting>
  <conditionalFormatting sqref="J30">
    <cfRule type="expression" dxfId="0" priority="470">
      <formula>COUNTIF(Checklist!$A231, "TRUE") = 1</formula>
    </cfRule>
  </conditionalFormatting>
  <conditionalFormatting sqref="J31">
    <cfRule type="expression" dxfId="0" priority="476">
      <formula>COUNTIF(Checklist!$A237, "TRUE") = 1</formula>
    </cfRule>
  </conditionalFormatting>
  <conditionalFormatting sqref="J35">
    <cfRule type="expression" dxfId="0" priority="572">
      <formula>COUNTIF(Checklist!$A273, "TRUE") = 1</formula>
    </cfRule>
  </conditionalFormatting>
  <conditionalFormatting sqref="J36">
    <cfRule type="expression" dxfId="0" priority="578">
      <formula>COUNTIF(Checklist!$A279, "TRUE") = 1</formula>
    </cfRule>
  </conditionalFormatting>
  <conditionalFormatting sqref="J37">
    <cfRule type="expression" dxfId="0" priority="584">
      <formula>COUNTIF(Checklist!$A285, "TRUE") = 1</formula>
    </cfRule>
  </conditionalFormatting>
  <conditionalFormatting sqref="J38">
    <cfRule type="expression" dxfId="0" priority="590">
      <formula>COUNTIF(Checklist!$A291, "TRUE") = 1</formula>
    </cfRule>
  </conditionalFormatting>
  <conditionalFormatting sqref="J39">
    <cfRule type="expression" dxfId="0" priority="596">
      <formula>COUNTIF(Checklist!$A297, "TRUE") = 1</formula>
    </cfRule>
  </conditionalFormatting>
  <conditionalFormatting sqref="J4">
    <cfRule type="expression" dxfId="0" priority="98">
      <formula>COUNTIF(Checklist!$A39, "TRUE") = 1</formula>
    </cfRule>
  </conditionalFormatting>
  <conditionalFormatting sqref="J43">
    <cfRule type="expression" dxfId="0" priority="692">
      <formula>COUNTIF(Checklist!$A333, "TRUE") = 1</formula>
    </cfRule>
  </conditionalFormatting>
  <conditionalFormatting sqref="J44">
    <cfRule type="expression" dxfId="0" priority="698">
      <formula>COUNTIF(Checklist!$A339, "TRUE") = 1</formula>
    </cfRule>
  </conditionalFormatting>
  <conditionalFormatting sqref="J45">
    <cfRule type="expression" dxfId="0" priority="704">
      <formula>COUNTIF(Checklist!$A345, "TRUE") = 1</formula>
    </cfRule>
  </conditionalFormatting>
  <conditionalFormatting sqref="J46">
    <cfRule type="expression" dxfId="0" priority="710">
      <formula>COUNTIF(Checklist!$A351, "TRUE") = 1</formula>
    </cfRule>
  </conditionalFormatting>
  <conditionalFormatting sqref="J47">
    <cfRule type="expression" dxfId="0" priority="716">
      <formula>COUNTIF(Checklist!$A357, "TRUE") = 1</formula>
    </cfRule>
  </conditionalFormatting>
  <conditionalFormatting sqref="J5">
    <cfRule type="expression" dxfId="0" priority="104">
      <formula>COUNTIF(Checklist!$A45, "TRUE") = 1</formula>
    </cfRule>
  </conditionalFormatting>
  <conditionalFormatting sqref="J51">
    <cfRule type="expression" dxfId="0" priority="812">
      <formula>COUNTIF(Checklist!$A393, "TRUE") = 1</formula>
    </cfRule>
  </conditionalFormatting>
  <conditionalFormatting sqref="J52">
    <cfRule type="expression" dxfId="0" priority="818">
      <formula>COUNTIF(Checklist!$A399, "TRUE") = 1</formula>
    </cfRule>
  </conditionalFormatting>
  <conditionalFormatting sqref="J53">
    <cfRule type="expression" dxfId="0" priority="824">
      <formula>COUNTIF(Checklist!$A405, "TRUE") = 1</formula>
    </cfRule>
  </conditionalFormatting>
  <conditionalFormatting sqref="J54">
    <cfRule type="expression" dxfId="0" priority="830">
      <formula>COUNTIF(Checklist!$A411, "TRUE") = 1</formula>
    </cfRule>
  </conditionalFormatting>
  <conditionalFormatting sqref="J55">
    <cfRule type="expression" dxfId="0" priority="836">
      <formula>COUNTIF(Checklist!$A417, "TRUE") = 1</formula>
    </cfRule>
  </conditionalFormatting>
  <conditionalFormatting sqref="J59">
    <cfRule type="expression" dxfId="0" priority="932">
      <formula>COUNTIF(Checklist!$A453, "TRUE") = 1</formula>
    </cfRule>
  </conditionalFormatting>
  <conditionalFormatting sqref="J6">
    <cfRule type="expression" dxfId="0" priority="110">
      <formula>COUNTIF(Checklist!$A51, "TRUE") = 1</formula>
    </cfRule>
  </conditionalFormatting>
  <conditionalFormatting sqref="J60">
    <cfRule type="expression" dxfId="0" priority="938">
      <formula>COUNTIF(Checklist!$A459, "TRUE") = 1</formula>
    </cfRule>
  </conditionalFormatting>
  <conditionalFormatting sqref="J61">
    <cfRule type="expression" dxfId="0" priority="944">
      <formula>COUNTIF(Checklist!$A465, "TRUE") = 1</formula>
    </cfRule>
  </conditionalFormatting>
  <conditionalFormatting sqref="J62">
    <cfRule type="expression" dxfId="0" priority="950">
      <formula>COUNTIF(Checklist!$A471, "TRUE") = 1</formula>
    </cfRule>
  </conditionalFormatting>
  <conditionalFormatting sqref="J63">
    <cfRule type="expression" dxfId="0" priority="956">
      <formula>COUNTIF(Checklist!$A477, "TRUE") = 1</formula>
    </cfRule>
  </conditionalFormatting>
  <conditionalFormatting sqref="J67">
    <cfRule type="expression" dxfId="0" priority="1052">
      <formula>COUNTIF(Checklist!$A513, "TRUE") = 1</formula>
    </cfRule>
  </conditionalFormatting>
  <conditionalFormatting sqref="J68">
    <cfRule type="expression" dxfId="0" priority="1058">
      <formula>COUNTIF(Checklist!$A519, "TRUE") = 1</formula>
    </cfRule>
  </conditionalFormatting>
  <conditionalFormatting sqref="J69">
    <cfRule type="expression" dxfId="0" priority="1064">
      <formula>COUNTIF(Checklist!$A525, "TRUE") = 1</formula>
    </cfRule>
  </conditionalFormatting>
  <conditionalFormatting sqref="J7">
    <cfRule type="expression" dxfId="0" priority="116">
      <formula>COUNTIF(Checklist!$A57, "TRUE") = 1</formula>
    </cfRule>
  </conditionalFormatting>
  <conditionalFormatting sqref="J70">
    <cfRule type="expression" dxfId="0" priority="1070">
      <formula>COUNTIF(Checklist!$A531, "TRUE") = 1</formula>
    </cfRule>
  </conditionalFormatting>
  <conditionalFormatting sqref="J71">
    <cfRule type="expression" dxfId="0" priority="1076">
      <formula>COUNTIF(Checklist!$A537, "TRUE") = 1</formula>
    </cfRule>
  </conditionalFormatting>
  <conditionalFormatting sqref="J75">
    <cfRule type="expression" dxfId="0" priority="1172">
      <formula>COUNTIF(Checklist!$A573, "TRUE") = 1</formula>
    </cfRule>
  </conditionalFormatting>
  <conditionalFormatting sqref="J76">
    <cfRule type="expression" dxfId="0" priority="1178">
      <formula>COUNTIF(Checklist!$A579, "TRUE") = 1</formula>
    </cfRule>
  </conditionalFormatting>
  <conditionalFormatting sqref="J77">
    <cfRule type="expression" dxfId="0" priority="1184">
      <formula>COUNTIF(Checklist!$A585, "TRUE") = 1</formula>
    </cfRule>
  </conditionalFormatting>
  <conditionalFormatting sqref="J78">
    <cfRule type="expression" dxfId="0" priority="1190">
      <formula>COUNTIF(Checklist!$A591, "TRUE") = 1</formula>
    </cfRule>
  </conditionalFormatting>
  <conditionalFormatting sqref="J79">
    <cfRule type="expression" dxfId="0" priority="1196">
      <formula>COUNTIF(Checklist!$A597, "TRUE") = 1</formula>
    </cfRule>
  </conditionalFormatting>
  <conditionalFormatting sqref="J83">
    <cfRule type="expression" dxfId="0" priority="1292">
      <formula>COUNTIF(Checklist!$A633, "TRUE") = 1</formula>
    </cfRule>
  </conditionalFormatting>
  <conditionalFormatting sqref="J84">
    <cfRule type="expression" dxfId="0" priority="1298">
      <formula>COUNTIF(Checklist!$A639, "TRUE") = 1</formula>
    </cfRule>
  </conditionalFormatting>
  <conditionalFormatting sqref="J85">
    <cfRule type="expression" dxfId="0" priority="1304">
      <formula>COUNTIF(Checklist!$A645, "TRUE") = 1</formula>
    </cfRule>
  </conditionalFormatting>
  <conditionalFormatting sqref="J86">
    <cfRule type="expression" dxfId="0" priority="1310">
      <formula>COUNTIF(Checklist!$A651, "TRUE") = 1</formula>
    </cfRule>
  </conditionalFormatting>
  <conditionalFormatting sqref="J87">
    <cfRule type="expression" dxfId="0" priority="1316">
      <formula>COUNTIF(Checklist!$A657, "TRUE") = 1</formula>
    </cfRule>
  </conditionalFormatting>
  <conditionalFormatting sqref="J91">
    <cfRule type="expression" dxfId="0" priority="1412">
      <formula>COUNTIF(Checklist!$A693, "TRUE") = 1</formula>
    </cfRule>
  </conditionalFormatting>
  <conditionalFormatting sqref="J92">
    <cfRule type="expression" dxfId="0" priority="1418">
      <formula>COUNTIF(Checklist!$A699, "TRUE") = 1</formula>
    </cfRule>
  </conditionalFormatting>
  <conditionalFormatting sqref="J93">
    <cfRule type="expression" dxfId="0" priority="1424">
      <formula>COUNTIF(Checklist!$A705, "TRUE") = 1</formula>
    </cfRule>
  </conditionalFormatting>
  <conditionalFormatting sqref="J94">
    <cfRule type="expression" dxfId="0" priority="1430">
      <formula>COUNTIF(Checklist!$None, "TRUE") = 1</formula>
    </cfRule>
  </conditionalFormatting>
  <conditionalFormatting sqref="J95">
    <cfRule type="expression" dxfId="0" priority="1436">
      <formula>COUNTIF(Checklist!$A717, "TRUE") = 1</formula>
    </cfRule>
  </conditionalFormatting>
  <conditionalFormatting sqref="J99">
    <cfRule type="expression" dxfId="0" priority="1532">
      <formula>COUNTIF(Checklist!$A753, "TRUE") = 1</formula>
    </cfRule>
  </conditionalFormatting>
  <conditionalFormatting sqref="K100">
    <cfRule type="expression" dxfId="0" priority="1539">
      <formula>COUNTIF(Checklist!$A760, "TRUE") = 1</formula>
    </cfRule>
  </conditionalFormatting>
  <conditionalFormatting sqref="K101">
    <cfRule type="expression" dxfId="0" priority="1545">
      <formula>COUNTIF(Checklist!$A766, "TRUE") = 1</formula>
    </cfRule>
  </conditionalFormatting>
  <conditionalFormatting sqref="K102">
    <cfRule type="expression" dxfId="0" priority="1551">
      <formula>COUNTIF(Checklist!$A772, "TRUE") = 1</formula>
    </cfRule>
  </conditionalFormatting>
  <conditionalFormatting sqref="K103">
    <cfRule type="expression" dxfId="0" priority="1557">
      <formula>COUNTIF(Checklist!$A778, "TRUE") = 1</formula>
    </cfRule>
  </conditionalFormatting>
  <conditionalFormatting sqref="K107">
    <cfRule type="expression" dxfId="0" priority="1653">
      <formula>COUNTIF(Checklist!$A814, "TRUE") = 1</formula>
    </cfRule>
  </conditionalFormatting>
  <conditionalFormatting sqref="K108">
    <cfRule type="expression" dxfId="0" priority="1659">
      <formula>COUNTIF(Checklist!$A820, "TRUE") = 1</formula>
    </cfRule>
  </conditionalFormatting>
  <conditionalFormatting sqref="K109">
    <cfRule type="expression" dxfId="0" priority="1665">
      <formula>COUNTIF(Checklist!$A826, "TRUE") = 1</formula>
    </cfRule>
  </conditionalFormatting>
  <conditionalFormatting sqref="K11">
    <cfRule type="expression" dxfId="0" priority="213">
      <formula>COUNTIF(Checklist!$A94, "TRUE") = 1</formula>
    </cfRule>
  </conditionalFormatting>
  <conditionalFormatting sqref="K110">
    <cfRule type="expression" dxfId="0" priority="1671">
      <formula>COUNTIF(Checklist!$A832, "TRUE") = 1</formula>
    </cfRule>
  </conditionalFormatting>
  <conditionalFormatting sqref="K111">
    <cfRule type="expression" dxfId="0" priority="1677">
      <formula>COUNTIF(Checklist!$A838, "TRUE") = 1</formula>
    </cfRule>
  </conditionalFormatting>
  <conditionalFormatting sqref="K115">
    <cfRule type="expression" dxfId="0" priority="1773">
      <formula>COUNTIF(Checklist!$A874, "TRUE") = 1</formula>
    </cfRule>
  </conditionalFormatting>
  <conditionalFormatting sqref="K116">
    <cfRule type="expression" dxfId="0" priority="1779">
      <formula>COUNTIF(Checklist!$A880, "TRUE") = 1</formula>
    </cfRule>
  </conditionalFormatting>
  <conditionalFormatting sqref="K117">
    <cfRule type="expression" dxfId="0" priority="1785">
      <formula>COUNTIF(Checklist!$A886, "TRUE") = 1</formula>
    </cfRule>
  </conditionalFormatting>
  <conditionalFormatting sqref="K118">
    <cfRule type="expression" dxfId="0" priority="1791">
      <formula>COUNTIF(Checklist!$A892, "TRUE") = 1</formula>
    </cfRule>
  </conditionalFormatting>
  <conditionalFormatting sqref="K119">
    <cfRule type="expression" dxfId="0" priority="1797">
      <formula>COUNTIF(Checklist!$A898, "TRUE") = 1</formula>
    </cfRule>
  </conditionalFormatting>
  <conditionalFormatting sqref="K12">
    <cfRule type="expression" dxfId="0" priority="219">
      <formula>COUNTIF(Checklist!$A100, "TRUE") = 1</formula>
    </cfRule>
  </conditionalFormatting>
  <conditionalFormatting sqref="K123">
    <cfRule type="expression" dxfId="0" priority="1818">
      <formula>COUNTIF(Checklist!$None, "TRUE") = 1</formula>
    </cfRule>
  </conditionalFormatting>
  <conditionalFormatting sqref="K124">
    <cfRule type="expression" dxfId="0" priority="1824">
      <formula>COUNTIF(Checklist!$None, "TRUE") = 1</formula>
    </cfRule>
  </conditionalFormatting>
  <conditionalFormatting sqref="K125">
    <cfRule type="expression" dxfId="0" priority="1830">
      <formula>COUNTIF(Checklist!$None, "TRUE") = 1</formula>
    </cfRule>
  </conditionalFormatting>
  <conditionalFormatting sqref="K126">
    <cfRule type="expression" dxfId="0" priority="1836">
      <formula>COUNTIF(Checklist!$None, "TRUE") = 1</formula>
    </cfRule>
  </conditionalFormatting>
  <conditionalFormatting sqref="K127">
    <cfRule type="expression" dxfId="0" priority="1842">
      <formula>COUNTIF(Checklist!$None, "TRUE") = 1</formula>
    </cfRule>
  </conditionalFormatting>
  <conditionalFormatting sqref="K13">
    <cfRule type="expression" dxfId="0" priority="225">
      <formula>COUNTIF(Checklist!$A106, "TRUE") = 1</formula>
    </cfRule>
  </conditionalFormatting>
  <conditionalFormatting sqref="K131">
    <cfRule type="expression" dxfId="0" priority="1938">
      <formula>COUNTIF(Checklist!$None, "TRUE") = 1</formula>
    </cfRule>
  </conditionalFormatting>
  <conditionalFormatting sqref="K132">
    <cfRule type="expression" dxfId="0" priority="1944">
      <formula>COUNTIF(Checklist!$None, "TRUE") = 1</formula>
    </cfRule>
  </conditionalFormatting>
  <conditionalFormatting sqref="K133">
    <cfRule type="expression" dxfId="0" priority="1950">
      <formula>COUNTIF(Checklist!$None, "TRUE") = 1</formula>
    </cfRule>
  </conditionalFormatting>
  <conditionalFormatting sqref="K134">
    <cfRule type="expression" dxfId="0" priority="1956">
      <formula>COUNTIF(Checklist!$None, "TRUE") = 1</formula>
    </cfRule>
  </conditionalFormatting>
  <conditionalFormatting sqref="K135">
    <cfRule type="expression" dxfId="0" priority="1962">
      <formula>COUNTIF(Checklist!$None, "TRUE") = 1</formula>
    </cfRule>
  </conditionalFormatting>
  <conditionalFormatting sqref="K139">
    <cfRule type="expression" dxfId="0" priority="2004">
      <formula>COUNTIF(Checklist!$None, "TRUE") = 1</formula>
    </cfRule>
  </conditionalFormatting>
  <conditionalFormatting sqref="K14">
    <cfRule type="expression" dxfId="0" priority="231">
      <formula>COUNTIF(Checklist!$A112, "TRUE") = 1</formula>
    </cfRule>
  </conditionalFormatting>
  <conditionalFormatting sqref="K140">
    <cfRule type="expression" dxfId="0" priority="2010">
      <formula>COUNTIF(Checklist!$None, "TRUE") = 1</formula>
    </cfRule>
  </conditionalFormatting>
  <conditionalFormatting sqref="K147">
    <cfRule type="expression" dxfId="0" priority="2097">
      <formula>COUNTIF(Checklist!$A1013, "TRUE") = 1</formula>
    </cfRule>
  </conditionalFormatting>
  <conditionalFormatting sqref="K148">
    <cfRule type="expression" dxfId="0" priority="2103">
      <formula>COUNTIF(Checklist!$None, "TRUE") = 1</formula>
    </cfRule>
  </conditionalFormatting>
  <conditionalFormatting sqref="K149">
    <cfRule type="expression" dxfId="0" priority="2109">
      <formula>COUNTIF(Checklist!$A1016, "TRUE") = 1</formula>
    </cfRule>
  </conditionalFormatting>
  <conditionalFormatting sqref="K15">
    <cfRule type="expression" dxfId="0" priority="237">
      <formula>COUNTIF(Checklist!$A118, "TRUE") = 1</formula>
    </cfRule>
  </conditionalFormatting>
  <conditionalFormatting sqref="K150">
    <cfRule type="expression" dxfId="0" priority="2115">
      <formula>COUNTIF(Checklist!$A1020, "TRUE") = 1</formula>
    </cfRule>
  </conditionalFormatting>
  <conditionalFormatting sqref="K155">
    <cfRule type="expression" dxfId="0" priority="2201">
      <formula>COUNTIF(Checklist!$A1039, "TRUE") = 1</formula>
    </cfRule>
  </conditionalFormatting>
  <conditionalFormatting sqref="K156">
    <cfRule type="expression" dxfId="0" priority="2207">
      <formula>COUNTIF(Checklist!$A1042, "TRUE") = 1</formula>
    </cfRule>
  </conditionalFormatting>
  <conditionalFormatting sqref="K157">
    <cfRule type="expression" dxfId="0" priority="2213">
      <formula>COUNTIF(Checklist!$None, "TRUE") = 1</formula>
    </cfRule>
  </conditionalFormatting>
  <conditionalFormatting sqref="K158">
    <cfRule type="expression" dxfId="0" priority="2219">
      <formula>COUNTIF(Checklist!$None, "TRUE") = 1</formula>
    </cfRule>
  </conditionalFormatting>
  <conditionalFormatting sqref="K163">
    <cfRule type="expression" dxfId="0" priority="2314">
      <formula>COUNTIF(Checklist!$None, "TRUE") = 1</formula>
    </cfRule>
  </conditionalFormatting>
  <conditionalFormatting sqref="K164">
    <cfRule type="expression" dxfId="0" priority="2320">
      <formula>COUNTIF(Checklist!$None, "TRUE") = 1</formula>
    </cfRule>
  </conditionalFormatting>
  <conditionalFormatting sqref="K165">
    <cfRule type="expression" dxfId="0" priority="2326">
      <formula>COUNTIF(Checklist!$None, "TRUE") = 1</formula>
    </cfRule>
  </conditionalFormatting>
  <conditionalFormatting sqref="K171">
    <cfRule type="expression" dxfId="0" priority="2397">
      <formula>COUNTIF(Checklist!$None, "TRUE") = 1</formula>
    </cfRule>
  </conditionalFormatting>
  <conditionalFormatting sqref="K172">
    <cfRule type="expression" dxfId="0" priority="2403">
      <formula>COUNTIF(Checklist!$A856, "TRUE") = 1</formula>
    </cfRule>
  </conditionalFormatting>
  <conditionalFormatting sqref="K173">
    <cfRule type="expression" dxfId="0" priority="2409">
      <formula>COUNTIF(Checklist!$None, "TRUE") = 1</formula>
    </cfRule>
  </conditionalFormatting>
  <conditionalFormatting sqref="K174">
    <cfRule type="expression" dxfId="0" priority="2415">
      <formula>COUNTIF(Checklist!$None, "TRUE") = 1</formula>
    </cfRule>
  </conditionalFormatting>
  <conditionalFormatting sqref="K175">
    <cfRule type="expression" dxfId="0" priority="2421">
      <formula>COUNTIF(Checklist!$None, "TRUE") = 1</formula>
    </cfRule>
  </conditionalFormatting>
  <conditionalFormatting sqref="K179">
    <cfRule type="expression" dxfId="0" priority="2508">
      <formula>COUNTIF(Checklist!$None, "TRUE") = 1</formula>
    </cfRule>
  </conditionalFormatting>
  <conditionalFormatting sqref="K180">
    <cfRule type="expression" dxfId="0" priority="2514">
      <formula>COUNTIF(Checklist!$None, "TRUE") = 1</formula>
    </cfRule>
  </conditionalFormatting>
  <conditionalFormatting sqref="K181">
    <cfRule type="expression" dxfId="0" priority="2520">
      <formula>COUNTIF(Checklist!$None, "TRUE") = 1</formula>
    </cfRule>
  </conditionalFormatting>
  <conditionalFormatting sqref="K182">
    <cfRule type="expression" dxfId="0" priority="2526">
      <formula>COUNTIF(Checklist!$None, "TRUE") = 1</formula>
    </cfRule>
  </conditionalFormatting>
  <conditionalFormatting sqref="K183">
    <cfRule type="expression" dxfId="0" priority="2532">
      <formula>COUNTIF(Checklist!$None, "TRUE") = 1</formula>
    </cfRule>
  </conditionalFormatting>
  <conditionalFormatting sqref="K187">
    <cfRule type="expression" dxfId="0" priority="2557">
      <formula>COUNTIF(Checklist!$A7, "TRUE") = 1</formula>
    </cfRule>
  </conditionalFormatting>
  <conditionalFormatting sqref="K188">
    <cfRule type="expression" dxfId="0" priority="2563">
      <formula>COUNTIF(Checklist!$A53, "TRUE") = 1</formula>
    </cfRule>
  </conditionalFormatting>
  <conditionalFormatting sqref="K189">
    <cfRule type="expression" dxfId="0" priority="2569">
      <formula>COUNTIF(Checklist!$None, "TRUE") = 1</formula>
    </cfRule>
  </conditionalFormatting>
  <conditionalFormatting sqref="K19">
    <cfRule type="expression" dxfId="0" priority="333">
      <formula>COUNTIF(Checklist!$A154, "TRUE") = 1</formula>
    </cfRule>
  </conditionalFormatting>
  <conditionalFormatting sqref="K190">
    <cfRule type="expression" dxfId="0" priority="2575">
      <formula>COUNTIF(Checklist!$A819, "TRUE") = 1</formula>
    </cfRule>
  </conditionalFormatting>
  <conditionalFormatting sqref="K191">
    <cfRule type="expression" dxfId="0" priority="2581">
      <formula>COUNTIF(Checklist!$A843, "TRUE") = 1</formula>
    </cfRule>
  </conditionalFormatting>
  <conditionalFormatting sqref="K20">
    <cfRule type="expression" dxfId="0" priority="339">
      <formula>COUNTIF(Checklist!$A160, "TRUE") = 1</formula>
    </cfRule>
  </conditionalFormatting>
  <conditionalFormatting sqref="K203">
    <cfRule type="expression" dxfId="0" priority="2665">
      <formula>COUNTIF(Checklist!$A1174, "TRUE") = 1</formula>
    </cfRule>
  </conditionalFormatting>
  <conditionalFormatting sqref="K204">
    <cfRule type="expression" dxfId="0" priority="2671">
      <formula>COUNTIF(Checklist!$A1180, "TRUE") = 1</formula>
    </cfRule>
  </conditionalFormatting>
  <conditionalFormatting sqref="K205">
    <cfRule type="expression" dxfId="0" priority="2677">
      <formula>COUNTIF(Checklist!$A1186, "TRUE") = 1</formula>
    </cfRule>
  </conditionalFormatting>
  <conditionalFormatting sqref="K21">
    <cfRule type="expression" dxfId="0" priority="345">
      <formula>COUNTIF(Checklist!$A166, "TRUE") = 1</formula>
    </cfRule>
  </conditionalFormatting>
  <conditionalFormatting sqref="K22">
    <cfRule type="expression" dxfId="0" priority="351">
      <formula>COUNTIF(Checklist!$A172, "TRUE") = 1</formula>
    </cfRule>
  </conditionalFormatting>
  <conditionalFormatting sqref="K23">
    <cfRule type="expression" dxfId="0" priority="357">
      <formula>COUNTIF(Checklist!$A178, "TRUE") = 1</formula>
    </cfRule>
  </conditionalFormatting>
  <conditionalFormatting sqref="K27">
    <cfRule type="expression" dxfId="0" priority="453">
      <formula>COUNTIF(Checklist!$A214, "TRUE") = 1</formula>
    </cfRule>
  </conditionalFormatting>
  <conditionalFormatting sqref="K28">
    <cfRule type="expression" dxfId="0" priority="459">
      <formula>COUNTIF(Checklist!$A220, "TRUE") = 1</formula>
    </cfRule>
  </conditionalFormatting>
  <conditionalFormatting sqref="K29">
    <cfRule type="expression" dxfId="0" priority="465">
      <formula>COUNTIF(Checklist!$A226, "TRUE") = 1</formula>
    </cfRule>
  </conditionalFormatting>
  <conditionalFormatting sqref="K3">
    <cfRule type="expression" dxfId="0" priority="93">
      <formula>COUNTIF(Checklist!$A34, "TRUE") = 1</formula>
    </cfRule>
  </conditionalFormatting>
  <conditionalFormatting sqref="K30">
    <cfRule type="expression" dxfId="0" priority="471">
      <formula>COUNTIF(Checklist!$A232, "TRUE") = 1</formula>
    </cfRule>
  </conditionalFormatting>
  <conditionalFormatting sqref="K31">
    <cfRule type="expression" dxfId="0" priority="477">
      <formula>COUNTIF(Checklist!$A238, "TRUE") = 1</formula>
    </cfRule>
  </conditionalFormatting>
  <conditionalFormatting sqref="K35">
    <cfRule type="expression" dxfId="0" priority="573">
      <formula>COUNTIF(Checklist!$A274, "TRUE") = 1</formula>
    </cfRule>
  </conditionalFormatting>
  <conditionalFormatting sqref="K36">
    <cfRule type="expression" dxfId="0" priority="579">
      <formula>COUNTIF(Checklist!$A280, "TRUE") = 1</formula>
    </cfRule>
  </conditionalFormatting>
  <conditionalFormatting sqref="K37">
    <cfRule type="expression" dxfId="0" priority="585">
      <formula>COUNTIF(Checklist!$A286, "TRUE") = 1</formula>
    </cfRule>
  </conditionalFormatting>
  <conditionalFormatting sqref="K38">
    <cfRule type="expression" dxfId="0" priority="591">
      <formula>COUNTIF(Checklist!$A292, "TRUE") = 1</formula>
    </cfRule>
  </conditionalFormatting>
  <conditionalFormatting sqref="K39">
    <cfRule type="expression" dxfId="0" priority="597">
      <formula>COUNTIF(Checklist!$A298, "TRUE") = 1</formula>
    </cfRule>
  </conditionalFormatting>
  <conditionalFormatting sqref="K4">
    <cfRule type="expression" dxfId="0" priority="99">
      <formula>COUNTIF(Checklist!$A40, "TRUE") = 1</formula>
    </cfRule>
  </conditionalFormatting>
  <conditionalFormatting sqref="K43">
    <cfRule type="expression" dxfId="0" priority="693">
      <formula>COUNTIF(Checklist!$A334, "TRUE") = 1</formula>
    </cfRule>
  </conditionalFormatting>
  <conditionalFormatting sqref="K44">
    <cfRule type="expression" dxfId="0" priority="699">
      <formula>COUNTIF(Checklist!$A340, "TRUE") = 1</formula>
    </cfRule>
  </conditionalFormatting>
  <conditionalFormatting sqref="K45">
    <cfRule type="expression" dxfId="0" priority="705">
      <formula>COUNTIF(Checklist!$A346, "TRUE") = 1</formula>
    </cfRule>
  </conditionalFormatting>
  <conditionalFormatting sqref="K46">
    <cfRule type="expression" dxfId="0" priority="711">
      <formula>COUNTIF(Checklist!$A352, "TRUE") = 1</formula>
    </cfRule>
  </conditionalFormatting>
  <conditionalFormatting sqref="K47">
    <cfRule type="expression" dxfId="0" priority="717">
      <formula>COUNTIF(Checklist!$A358, "TRUE") = 1</formula>
    </cfRule>
  </conditionalFormatting>
  <conditionalFormatting sqref="K5">
    <cfRule type="expression" dxfId="0" priority="105">
      <formula>COUNTIF(Checklist!$A46, "TRUE") = 1</formula>
    </cfRule>
  </conditionalFormatting>
  <conditionalFormatting sqref="K51">
    <cfRule type="expression" dxfId="0" priority="813">
      <formula>COUNTIF(Checklist!$A394, "TRUE") = 1</formula>
    </cfRule>
  </conditionalFormatting>
  <conditionalFormatting sqref="K52">
    <cfRule type="expression" dxfId="0" priority="819">
      <formula>COUNTIF(Checklist!$A400, "TRUE") = 1</formula>
    </cfRule>
  </conditionalFormatting>
  <conditionalFormatting sqref="K53">
    <cfRule type="expression" dxfId="0" priority="825">
      <formula>COUNTIF(Checklist!$A406, "TRUE") = 1</formula>
    </cfRule>
  </conditionalFormatting>
  <conditionalFormatting sqref="K54">
    <cfRule type="expression" dxfId="0" priority="831">
      <formula>COUNTIF(Checklist!$A412, "TRUE") = 1</formula>
    </cfRule>
  </conditionalFormatting>
  <conditionalFormatting sqref="K55">
    <cfRule type="expression" dxfId="0" priority="837">
      <formula>COUNTIF(Checklist!$A418, "TRUE") = 1</formula>
    </cfRule>
  </conditionalFormatting>
  <conditionalFormatting sqref="K59">
    <cfRule type="expression" dxfId="0" priority="933">
      <formula>COUNTIF(Checklist!$A454, "TRUE") = 1</formula>
    </cfRule>
  </conditionalFormatting>
  <conditionalFormatting sqref="K6">
    <cfRule type="expression" dxfId="0" priority="111">
      <formula>COUNTIF(Checklist!$A52, "TRUE") = 1</formula>
    </cfRule>
  </conditionalFormatting>
  <conditionalFormatting sqref="K60">
    <cfRule type="expression" dxfId="0" priority="939">
      <formula>COUNTIF(Checklist!$A460, "TRUE") = 1</formula>
    </cfRule>
  </conditionalFormatting>
  <conditionalFormatting sqref="K61">
    <cfRule type="expression" dxfId="0" priority="945">
      <formula>COUNTIF(Checklist!$A466, "TRUE") = 1</formula>
    </cfRule>
  </conditionalFormatting>
  <conditionalFormatting sqref="K62">
    <cfRule type="expression" dxfId="0" priority="951">
      <formula>COUNTIF(Checklist!$A472, "TRUE") = 1</formula>
    </cfRule>
  </conditionalFormatting>
  <conditionalFormatting sqref="K63">
    <cfRule type="expression" dxfId="0" priority="957">
      <formula>COUNTIF(Checklist!$A478, "TRUE") = 1</formula>
    </cfRule>
  </conditionalFormatting>
  <conditionalFormatting sqref="K67">
    <cfRule type="expression" dxfId="0" priority="1053">
      <formula>COUNTIF(Checklist!$A514, "TRUE") = 1</formula>
    </cfRule>
  </conditionalFormatting>
  <conditionalFormatting sqref="K68">
    <cfRule type="expression" dxfId="0" priority="1059">
      <formula>COUNTIF(Checklist!$A520, "TRUE") = 1</formula>
    </cfRule>
  </conditionalFormatting>
  <conditionalFormatting sqref="K69">
    <cfRule type="expression" dxfId="0" priority="1065">
      <formula>COUNTIF(Checklist!$A526, "TRUE") = 1</formula>
    </cfRule>
  </conditionalFormatting>
  <conditionalFormatting sqref="K7">
    <cfRule type="expression" dxfId="0" priority="117">
      <formula>COUNTIF(Checklist!$A58, "TRUE") = 1</formula>
    </cfRule>
  </conditionalFormatting>
  <conditionalFormatting sqref="K70">
    <cfRule type="expression" dxfId="0" priority="1071">
      <formula>COUNTIF(Checklist!$A532, "TRUE") = 1</formula>
    </cfRule>
  </conditionalFormatting>
  <conditionalFormatting sqref="K71">
    <cfRule type="expression" dxfId="0" priority="1077">
      <formula>COUNTIF(Checklist!$A538, "TRUE") = 1</formula>
    </cfRule>
  </conditionalFormatting>
  <conditionalFormatting sqref="K75">
    <cfRule type="expression" dxfId="0" priority="1173">
      <formula>COUNTIF(Checklist!$A574, "TRUE") = 1</formula>
    </cfRule>
  </conditionalFormatting>
  <conditionalFormatting sqref="K76">
    <cfRule type="expression" dxfId="0" priority="1179">
      <formula>COUNTIF(Checklist!$A580, "TRUE") = 1</formula>
    </cfRule>
  </conditionalFormatting>
  <conditionalFormatting sqref="K77">
    <cfRule type="expression" dxfId="0" priority="1185">
      <formula>COUNTIF(Checklist!$A586, "TRUE") = 1</formula>
    </cfRule>
  </conditionalFormatting>
  <conditionalFormatting sqref="K78">
    <cfRule type="expression" dxfId="0" priority="1191">
      <formula>COUNTIF(Checklist!$A592, "TRUE") = 1</formula>
    </cfRule>
  </conditionalFormatting>
  <conditionalFormatting sqref="K79">
    <cfRule type="expression" dxfId="0" priority="1197">
      <formula>COUNTIF(Checklist!$A598, "TRUE") = 1</formula>
    </cfRule>
  </conditionalFormatting>
  <conditionalFormatting sqref="K83">
    <cfRule type="expression" dxfId="0" priority="1293">
      <formula>COUNTIF(Checklist!$A634, "TRUE") = 1</formula>
    </cfRule>
  </conditionalFormatting>
  <conditionalFormatting sqref="K84">
    <cfRule type="expression" dxfId="0" priority="1299">
      <formula>COUNTIF(Checklist!$A640, "TRUE") = 1</formula>
    </cfRule>
  </conditionalFormatting>
  <conditionalFormatting sqref="K85">
    <cfRule type="expression" dxfId="0" priority="1305">
      <formula>COUNTIF(Checklist!$None, "TRUE") = 1</formula>
    </cfRule>
  </conditionalFormatting>
  <conditionalFormatting sqref="K86">
    <cfRule type="expression" dxfId="0" priority="1311">
      <formula>COUNTIF(Checklist!$A652, "TRUE") = 1</formula>
    </cfRule>
  </conditionalFormatting>
  <conditionalFormatting sqref="K87">
    <cfRule type="expression" dxfId="0" priority="1317">
      <formula>COUNTIF(Checklist!$A658, "TRUE") = 1</formula>
    </cfRule>
  </conditionalFormatting>
  <conditionalFormatting sqref="K91">
    <cfRule type="expression" dxfId="0" priority="1413">
      <formula>COUNTIF(Checklist!$A694, "TRUE") = 1</formula>
    </cfRule>
  </conditionalFormatting>
  <conditionalFormatting sqref="K92">
    <cfRule type="expression" dxfId="0" priority="1419">
      <formula>COUNTIF(Checklist!$A700, "TRUE") = 1</formula>
    </cfRule>
  </conditionalFormatting>
  <conditionalFormatting sqref="K93">
    <cfRule type="expression" dxfId="0" priority="1425">
      <formula>COUNTIF(Checklist!$A706, "TRUE") = 1</formula>
    </cfRule>
  </conditionalFormatting>
  <conditionalFormatting sqref="K94">
    <cfRule type="expression" dxfId="0" priority="1431">
      <formula>COUNTIF(Checklist!$None, "TRUE") = 1</formula>
    </cfRule>
  </conditionalFormatting>
  <conditionalFormatting sqref="K95">
    <cfRule type="expression" dxfId="0" priority="1437">
      <formula>COUNTIF(Checklist!$A718, "TRUE") = 1</formula>
    </cfRule>
  </conditionalFormatting>
  <conditionalFormatting sqref="K99">
    <cfRule type="expression" dxfId="0" priority="1533">
      <formula>COUNTIF(Checklist!$A754, "TRUE") = 1</formula>
    </cfRule>
  </conditionalFormatting>
  <conditionalFormatting sqref="L100">
    <cfRule type="expression" dxfId="0" priority="1540">
      <formula>COUNTIF(Checklist!$A761, "TRUE") = 1</formula>
    </cfRule>
  </conditionalFormatting>
  <conditionalFormatting sqref="L101">
    <cfRule type="expression" dxfId="0" priority="1546">
      <formula>COUNTIF(Checklist!$A767, "TRUE") = 1</formula>
    </cfRule>
  </conditionalFormatting>
  <conditionalFormatting sqref="L102">
    <cfRule type="expression" dxfId="0" priority="1552">
      <formula>COUNTIF(Checklist!$None, "TRUE") = 1</formula>
    </cfRule>
  </conditionalFormatting>
  <conditionalFormatting sqref="L103">
    <cfRule type="expression" dxfId="0" priority="1558">
      <formula>COUNTIF(Checklist!$None, "TRUE") = 1</formula>
    </cfRule>
  </conditionalFormatting>
  <conditionalFormatting sqref="L107">
    <cfRule type="expression" dxfId="0" priority="1654">
      <formula>COUNTIF(Checklist!$A815, "TRUE") = 1</formula>
    </cfRule>
  </conditionalFormatting>
  <conditionalFormatting sqref="L108">
    <cfRule type="expression" dxfId="0" priority="1660">
      <formula>COUNTIF(Checklist!$A821, "TRUE") = 1</formula>
    </cfRule>
  </conditionalFormatting>
  <conditionalFormatting sqref="L109">
    <cfRule type="expression" dxfId="0" priority="1666">
      <formula>COUNTIF(Checklist!$A827, "TRUE") = 1</formula>
    </cfRule>
  </conditionalFormatting>
  <conditionalFormatting sqref="L11">
    <cfRule type="expression" dxfId="0" priority="214">
      <formula>COUNTIF(Checklist!$A95, "TRUE") = 1</formula>
    </cfRule>
  </conditionalFormatting>
  <conditionalFormatting sqref="L110">
    <cfRule type="expression" dxfId="0" priority="1672">
      <formula>COUNTIF(Checklist!$A833, "TRUE") = 1</formula>
    </cfRule>
  </conditionalFormatting>
  <conditionalFormatting sqref="L111">
    <cfRule type="expression" dxfId="0" priority="1678">
      <formula>COUNTIF(Checklist!$A839, "TRUE") = 1</formula>
    </cfRule>
  </conditionalFormatting>
  <conditionalFormatting sqref="L115">
    <cfRule type="expression" dxfId="0" priority="1774">
      <formula>COUNTIF(Checklist!$A875, "TRUE") = 1</formula>
    </cfRule>
  </conditionalFormatting>
  <conditionalFormatting sqref="L116">
    <cfRule type="expression" dxfId="0" priority="1780">
      <formula>COUNTIF(Checklist!$A881, "TRUE") = 1</formula>
    </cfRule>
  </conditionalFormatting>
  <conditionalFormatting sqref="L117">
    <cfRule type="expression" dxfId="0" priority="1786">
      <formula>COUNTIF(Checklist!$A887, "TRUE") = 1</formula>
    </cfRule>
  </conditionalFormatting>
  <conditionalFormatting sqref="L118">
    <cfRule type="expression" dxfId="0" priority="1792">
      <formula>COUNTIF(Checklist!$None, "TRUE") = 1</formula>
    </cfRule>
  </conditionalFormatting>
  <conditionalFormatting sqref="L119">
    <cfRule type="expression" dxfId="0" priority="1798">
      <formula>COUNTIF(Checklist!$A899, "TRUE") = 1</formula>
    </cfRule>
  </conditionalFormatting>
  <conditionalFormatting sqref="L12">
    <cfRule type="expression" dxfId="0" priority="220">
      <formula>COUNTIF(Checklist!$A101, "TRUE") = 1</formula>
    </cfRule>
  </conditionalFormatting>
  <conditionalFormatting sqref="L123">
    <cfRule type="expression" dxfId="0" priority="1819">
      <formula>COUNTIF(Checklist!$None, "TRUE") = 1</formula>
    </cfRule>
  </conditionalFormatting>
  <conditionalFormatting sqref="L124">
    <cfRule type="expression" dxfId="0" priority="1825">
      <formula>COUNTIF(Checklist!$None, "TRUE") = 1</formula>
    </cfRule>
  </conditionalFormatting>
  <conditionalFormatting sqref="L125">
    <cfRule type="expression" dxfId="0" priority="1831">
      <formula>COUNTIF(Checklist!$None, "TRUE") = 1</formula>
    </cfRule>
  </conditionalFormatting>
  <conditionalFormatting sqref="L126">
    <cfRule type="expression" dxfId="0" priority="1837">
      <formula>COUNTIF(Checklist!$None, "TRUE") = 1</formula>
    </cfRule>
  </conditionalFormatting>
  <conditionalFormatting sqref="L127">
    <cfRule type="expression" dxfId="0" priority="1843">
      <formula>COUNTIF(Checklist!$None, "TRUE") = 1</formula>
    </cfRule>
  </conditionalFormatting>
  <conditionalFormatting sqref="L13">
    <cfRule type="expression" dxfId="0" priority="226">
      <formula>COUNTIF(Checklist!$A107, "TRUE") = 1</formula>
    </cfRule>
  </conditionalFormatting>
  <conditionalFormatting sqref="L131">
    <cfRule type="expression" dxfId="0" priority="1939">
      <formula>COUNTIF(Checklist!$None, "TRUE") = 1</formula>
    </cfRule>
  </conditionalFormatting>
  <conditionalFormatting sqref="L132">
    <cfRule type="expression" dxfId="0" priority="1945">
      <formula>COUNTIF(Checklist!$None, "TRUE") = 1</formula>
    </cfRule>
  </conditionalFormatting>
  <conditionalFormatting sqref="L133">
    <cfRule type="expression" dxfId="0" priority="1951">
      <formula>COUNTIF(Checklist!$None, "TRUE") = 1</formula>
    </cfRule>
  </conditionalFormatting>
  <conditionalFormatting sqref="L134">
    <cfRule type="expression" dxfId="0" priority="1957">
      <formula>COUNTIF(Checklist!$None, "TRUE") = 1</formula>
    </cfRule>
  </conditionalFormatting>
  <conditionalFormatting sqref="L135">
    <cfRule type="expression" dxfId="0" priority="1963">
      <formula>COUNTIF(Checklist!$None, "TRUE") = 1</formula>
    </cfRule>
  </conditionalFormatting>
  <conditionalFormatting sqref="L139">
    <cfRule type="expression" dxfId="0" priority="2005">
      <formula>COUNTIF(Checklist!$None, "TRUE") = 1</formula>
    </cfRule>
  </conditionalFormatting>
  <conditionalFormatting sqref="L14">
    <cfRule type="expression" dxfId="0" priority="232">
      <formula>COUNTIF(Checklist!$A113, "TRUE") = 1</formula>
    </cfRule>
  </conditionalFormatting>
  <conditionalFormatting sqref="L147">
    <cfRule type="expression" dxfId="0" priority="2098">
      <formula>COUNTIF(Checklist!$A1014, "TRUE") = 1</formula>
    </cfRule>
  </conditionalFormatting>
  <conditionalFormatting sqref="L148">
    <cfRule type="expression" dxfId="0" priority="2104">
      <formula>COUNTIF(Checklist!$A423, "TRUE") = 1</formula>
    </cfRule>
  </conditionalFormatting>
  <conditionalFormatting sqref="L149">
    <cfRule type="expression" dxfId="0" priority="2110">
      <formula>COUNTIF(Checklist!$None, "TRUE") = 1</formula>
    </cfRule>
  </conditionalFormatting>
  <conditionalFormatting sqref="L15">
    <cfRule type="expression" dxfId="0" priority="238">
      <formula>COUNTIF(Checklist!$A119, "TRUE") = 1</formula>
    </cfRule>
  </conditionalFormatting>
  <conditionalFormatting sqref="L150">
    <cfRule type="expression" dxfId="0" priority="2116">
      <formula>COUNTIF(Checklist!$A1021, "TRUE") = 1</formula>
    </cfRule>
  </conditionalFormatting>
  <conditionalFormatting sqref="L155">
    <cfRule type="expression" dxfId="0" priority="2202">
      <formula>COUNTIF(Checklist!$A1040, "TRUE") = 1</formula>
    </cfRule>
  </conditionalFormatting>
  <conditionalFormatting sqref="L156">
    <cfRule type="expression" dxfId="0" priority="2208">
      <formula>COUNTIF(Checklist!$A1043, "TRUE") = 1</formula>
    </cfRule>
  </conditionalFormatting>
  <conditionalFormatting sqref="L157">
    <cfRule type="expression" dxfId="0" priority="2214">
      <formula>COUNTIF(Checklist!$None, "TRUE") = 1</formula>
    </cfRule>
  </conditionalFormatting>
  <conditionalFormatting sqref="L158">
    <cfRule type="expression" dxfId="0" priority="2220">
      <formula>COUNTIF(Checklist!$None, "TRUE") = 1</formula>
    </cfRule>
  </conditionalFormatting>
  <conditionalFormatting sqref="L163">
    <cfRule type="expression" dxfId="0" priority="2315">
      <formula>COUNTIF(Checklist!$None, "TRUE") = 1</formula>
    </cfRule>
  </conditionalFormatting>
  <conditionalFormatting sqref="L164">
    <cfRule type="expression" dxfId="0" priority="2321">
      <formula>COUNTIF(Checklist!$None, "TRUE") = 1</formula>
    </cfRule>
  </conditionalFormatting>
  <conditionalFormatting sqref="L165">
    <cfRule type="expression" dxfId="0" priority="2327">
      <formula>COUNTIF(Checklist!$None, "TRUE") = 1</formula>
    </cfRule>
  </conditionalFormatting>
  <conditionalFormatting sqref="L171">
    <cfRule type="expression" dxfId="0" priority="2398">
      <formula>COUNTIF(Checklist!$None, "TRUE") = 1</formula>
    </cfRule>
  </conditionalFormatting>
  <conditionalFormatting sqref="L172">
    <cfRule type="expression" dxfId="0" priority="2404">
      <formula>COUNTIF(Checklist!$None, "TRUE") = 1</formula>
    </cfRule>
  </conditionalFormatting>
  <conditionalFormatting sqref="L173">
    <cfRule type="expression" dxfId="0" priority="2410">
      <formula>COUNTIF(Checklist!$None, "TRUE") = 1</formula>
    </cfRule>
  </conditionalFormatting>
  <conditionalFormatting sqref="L174">
    <cfRule type="expression" dxfId="0" priority="2416">
      <formula>COUNTIF(Checklist!$None, "TRUE") = 1</formula>
    </cfRule>
  </conditionalFormatting>
  <conditionalFormatting sqref="L179">
    <cfRule type="expression" dxfId="0" priority="2509">
      <formula>COUNTIF(Checklist!$None, "TRUE") = 1</formula>
    </cfRule>
  </conditionalFormatting>
  <conditionalFormatting sqref="L180">
    <cfRule type="expression" dxfId="0" priority="2515">
      <formula>COUNTIF(Checklist!$None, "TRUE") = 1</formula>
    </cfRule>
  </conditionalFormatting>
  <conditionalFormatting sqref="L181">
    <cfRule type="expression" dxfId="0" priority="2521">
      <formula>COUNTIF(Checklist!$None, "TRUE") = 1</formula>
    </cfRule>
  </conditionalFormatting>
  <conditionalFormatting sqref="L182">
    <cfRule type="expression" dxfId="0" priority="2527">
      <formula>COUNTIF(Checklist!$None, "TRUE") = 1</formula>
    </cfRule>
  </conditionalFormatting>
  <conditionalFormatting sqref="L183">
    <cfRule type="expression" dxfId="0" priority="2533">
      <formula>COUNTIF(Checklist!$None, "TRUE") = 1</formula>
    </cfRule>
  </conditionalFormatting>
  <conditionalFormatting sqref="L187">
    <cfRule type="expression" dxfId="0" priority="2558">
      <formula>COUNTIF(Checklist!$A10, "TRUE") = 1</formula>
    </cfRule>
  </conditionalFormatting>
  <conditionalFormatting sqref="L188">
    <cfRule type="expression" dxfId="0" priority="2564">
      <formula>COUNTIF(Checklist!$A69, "TRUE") = 1</formula>
    </cfRule>
  </conditionalFormatting>
  <conditionalFormatting sqref="L189">
    <cfRule type="expression" dxfId="0" priority="2570">
      <formula>COUNTIF(Checklist!$A144, "TRUE") = 1</formula>
    </cfRule>
  </conditionalFormatting>
  <conditionalFormatting sqref="L19">
    <cfRule type="expression" dxfId="0" priority="334">
      <formula>COUNTIF(Checklist!$A155, "TRUE") = 1</formula>
    </cfRule>
  </conditionalFormatting>
  <conditionalFormatting sqref="L190">
    <cfRule type="expression" dxfId="0" priority="2576">
      <formula>COUNTIF(Checklist!$A824, "TRUE") = 1</formula>
    </cfRule>
  </conditionalFormatting>
  <conditionalFormatting sqref="L191">
    <cfRule type="expression" dxfId="0" priority="2582">
      <formula>COUNTIF(Checklist!$A845, "TRUE") = 1</formula>
    </cfRule>
  </conditionalFormatting>
  <conditionalFormatting sqref="L20">
    <cfRule type="expression" dxfId="0" priority="340">
      <formula>COUNTIF(Checklist!$A161, "TRUE") = 1</formula>
    </cfRule>
  </conditionalFormatting>
  <conditionalFormatting sqref="L203">
    <cfRule type="expression" dxfId="0" priority="2666">
      <formula>COUNTIF(Checklist!$A1175, "TRUE") = 1</formula>
    </cfRule>
  </conditionalFormatting>
  <conditionalFormatting sqref="L204">
    <cfRule type="expression" dxfId="0" priority="2672">
      <formula>COUNTIF(Checklist!$A1181, "TRUE") = 1</formula>
    </cfRule>
  </conditionalFormatting>
  <conditionalFormatting sqref="L205">
    <cfRule type="expression" dxfId="0" priority="2678">
      <formula>COUNTIF(Checklist!$A1187, "TRUE") = 1</formula>
    </cfRule>
  </conditionalFormatting>
  <conditionalFormatting sqref="L21">
    <cfRule type="expression" dxfId="0" priority="346">
      <formula>COUNTIF(Checklist!$A167, "TRUE") = 1</formula>
    </cfRule>
  </conditionalFormatting>
  <conditionalFormatting sqref="L22">
    <cfRule type="expression" dxfId="0" priority="352">
      <formula>COUNTIF(Checklist!$A173, "TRUE") = 1</formula>
    </cfRule>
  </conditionalFormatting>
  <conditionalFormatting sqref="L23">
    <cfRule type="expression" dxfId="0" priority="358">
      <formula>COUNTIF(Checklist!$A179, "TRUE") = 1</formula>
    </cfRule>
  </conditionalFormatting>
  <conditionalFormatting sqref="L27">
    <cfRule type="expression" dxfId="0" priority="454">
      <formula>COUNTIF(Checklist!$A215, "TRUE") = 1</formula>
    </cfRule>
  </conditionalFormatting>
  <conditionalFormatting sqref="L28">
    <cfRule type="expression" dxfId="0" priority="460">
      <formula>COUNTIF(Checklist!$A221, "TRUE") = 1</formula>
    </cfRule>
  </conditionalFormatting>
  <conditionalFormatting sqref="L29">
    <cfRule type="expression" dxfId="0" priority="466">
      <formula>COUNTIF(Checklist!$A227, "TRUE") = 1</formula>
    </cfRule>
  </conditionalFormatting>
  <conditionalFormatting sqref="L3">
    <cfRule type="expression" dxfId="0" priority="94">
      <formula>COUNTIF(Checklist!$A35, "TRUE") = 1</formula>
    </cfRule>
  </conditionalFormatting>
  <conditionalFormatting sqref="L30">
    <cfRule type="expression" dxfId="0" priority="472">
      <formula>COUNTIF(Checklist!$A233, "TRUE") = 1</formula>
    </cfRule>
  </conditionalFormatting>
  <conditionalFormatting sqref="L31">
    <cfRule type="expression" dxfId="0" priority="478">
      <formula>COUNTIF(Checklist!$A239, "TRUE") = 1</formula>
    </cfRule>
  </conditionalFormatting>
  <conditionalFormatting sqref="L35">
    <cfRule type="expression" dxfId="0" priority="574">
      <formula>COUNTIF(Checklist!$A275, "TRUE") = 1</formula>
    </cfRule>
  </conditionalFormatting>
  <conditionalFormatting sqref="L36">
    <cfRule type="expression" dxfId="0" priority="580">
      <formula>COUNTIF(Checklist!$A281, "TRUE") = 1</formula>
    </cfRule>
  </conditionalFormatting>
  <conditionalFormatting sqref="L37">
    <cfRule type="expression" dxfId="0" priority="586">
      <formula>COUNTIF(Checklist!$A287, "TRUE") = 1</formula>
    </cfRule>
  </conditionalFormatting>
  <conditionalFormatting sqref="L38">
    <cfRule type="expression" dxfId="0" priority="592">
      <formula>COUNTIF(Checklist!$A293, "TRUE") = 1</formula>
    </cfRule>
  </conditionalFormatting>
  <conditionalFormatting sqref="L39">
    <cfRule type="expression" dxfId="0" priority="598">
      <formula>COUNTIF(Checklist!$A299, "TRUE") = 1</formula>
    </cfRule>
  </conditionalFormatting>
  <conditionalFormatting sqref="L4">
    <cfRule type="expression" dxfId="0" priority="100">
      <formula>COUNTIF(Checklist!$A41, "TRUE") = 1</formula>
    </cfRule>
  </conditionalFormatting>
  <conditionalFormatting sqref="L43">
    <cfRule type="expression" dxfId="0" priority="694">
      <formula>COUNTIF(Checklist!$A335, "TRUE") = 1</formula>
    </cfRule>
  </conditionalFormatting>
  <conditionalFormatting sqref="L44">
    <cfRule type="expression" dxfId="0" priority="700">
      <formula>COUNTIF(Checklist!$A341, "TRUE") = 1</formula>
    </cfRule>
  </conditionalFormatting>
  <conditionalFormatting sqref="L45">
    <cfRule type="expression" dxfId="0" priority="706">
      <formula>COUNTIF(Checklist!$A347, "TRUE") = 1</formula>
    </cfRule>
  </conditionalFormatting>
  <conditionalFormatting sqref="L46">
    <cfRule type="expression" dxfId="0" priority="712">
      <formula>COUNTIF(Checklist!$A353, "TRUE") = 1</formula>
    </cfRule>
  </conditionalFormatting>
  <conditionalFormatting sqref="L47">
    <cfRule type="expression" dxfId="0" priority="718">
      <formula>COUNTIF(Checklist!$A359, "TRUE") = 1</formula>
    </cfRule>
  </conditionalFormatting>
  <conditionalFormatting sqref="L5">
    <cfRule type="expression" dxfId="0" priority="106">
      <formula>COUNTIF(Checklist!$A47, "TRUE") = 1</formula>
    </cfRule>
  </conditionalFormatting>
  <conditionalFormatting sqref="L51">
    <cfRule type="expression" dxfId="0" priority="814">
      <formula>COUNTIF(Checklist!$A395, "TRUE") = 1</formula>
    </cfRule>
  </conditionalFormatting>
  <conditionalFormatting sqref="L52">
    <cfRule type="expression" dxfId="0" priority="820">
      <formula>COUNTIF(Checklist!$A401, "TRUE") = 1</formula>
    </cfRule>
  </conditionalFormatting>
  <conditionalFormatting sqref="L53">
    <cfRule type="expression" dxfId="0" priority="826">
      <formula>COUNTIF(Checklist!$A407, "TRUE") = 1</formula>
    </cfRule>
  </conditionalFormatting>
  <conditionalFormatting sqref="L54">
    <cfRule type="expression" dxfId="0" priority="832">
      <formula>COUNTIF(Checklist!$A413, "TRUE") = 1</formula>
    </cfRule>
  </conditionalFormatting>
  <conditionalFormatting sqref="L55">
    <cfRule type="expression" dxfId="0" priority="838">
      <formula>COUNTIF(Checklist!$A419, "TRUE") = 1</formula>
    </cfRule>
  </conditionalFormatting>
  <conditionalFormatting sqref="L59">
    <cfRule type="expression" dxfId="0" priority="934">
      <formula>COUNTIF(Checklist!$A455, "TRUE") = 1</formula>
    </cfRule>
  </conditionalFormatting>
  <conditionalFormatting sqref="L6">
    <cfRule type="expression" dxfId="0" priority="112">
      <formula>COUNTIF(Checklist!$A53, "TRUE") = 1</formula>
    </cfRule>
  </conditionalFormatting>
  <conditionalFormatting sqref="L60">
    <cfRule type="expression" dxfId="0" priority="940">
      <formula>COUNTIF(Checklist!$A461, "TRUE") = 1</formula>
    </cfRule>
  </conditionalFormatting>
  <conditionalFormatting sqref="L61">
    <cfRule type="expression" dxfId="0" priority="946">
      <formula>COUNTIF(Checklist!$A467, "TRUE") = 1</formula>
    </cfRule>
  </conditionalFormatting>
  <conditionalFormatting sqref="L62">
    <cfRule type="expression" dxfId="0" priority="952">
      <formula>COUNTIF(Checklist!$A473, "TRUE") = 1</formula>
    </cfRule>
  </conditionalFormatting>
  <conditionalFormatting sqref="L63">
    <cfRule type="expression" dxfId="0" priority="958">
      <formula>COUNTIF(Checklist!$A479, "TRUE") = 1</formula>
    </cfRule>
  </conditionalFormatting>
  <conditionalFormatting sqref="L67">
    <cfRule type="expression" dxfId="0" priority="1054">
      <formula>COUNTIF(Checklist!$A515, "TRUE") = 1</formula>
    </cfRule>
  </conditionalFormatting>
  <conditionalFormatting sqref="L68">
    <cfRule type="expression" dxfId="0" priority="1060">
      <formula>COUNTIF(Checklist!$A521, "TRUE") = 1</formula>
    </cfRule>
  </conditionalFormatting>
  <conditionalFormatting sqref="L69">
    <cfRule type="expression" dxfId="0" priority="1066">
      <formula>COUNTIF(Checklist!$A527, "TRUE") = 1</formula>
    </cfRule>
  </conditionalFormatting>
  <conditionalFormatting sqref="L7">
    <cfRule type="expression" dxfId="0" priority="118">
      <formula>COUNTIF(Checklist!$A59, "TRUE") = 1</formula>
    </cfRule>
  </conditionalFormatting>
  <conditionalFormatting sqref="L70">
    <cfRule type="expression" dxfId="0" priority="1072">
      <formula>COUNTIF(Checklist!$A533, "TRUE") = 1</formula>
    </cfRule>
  </conditionalFormatting>
  <conditionalFormatting sqref="L71">
    <cfRule type="expression" dxfId="0" priority="1078">
      <formula>COUNTIF(Checklist!$A539, "TRUE") = 1</formula>
    </cfRule>
  </conditionalFormatting>
  <conditionalFormatting sqref="L75">
    <cfRule type="expression" dxfId="0" priority="1174">
      <formula>COUNTIF(Checklist!$A575, "TRUE") = 1</formula>
    </cfRule>
  </conditionalFormatting>
  <conditionalFormatting sqref="L76">
    <cfRule type="expression" dxfId="0" priority="1180">
      <formula>COUNTIF(Checklist!$A581, "TRUE") = 1</formula>
    </cfRule>
  </conditionalFormatting>
  <conditionalFormatting sqref="L77">
    <cfRule type="expression" dxfId="0" priority="1186">
      <formula>COUNTIF(Checklist!$A587, "TRUE") = 1</formula>
    </cfRule>
  </conditionalFormatting>
  <conditionalFormatting sqref="L78">
    <cfRule type="expression" dxfId="0" priority="1192">
      <formula>COUNTIF(Checklist!$A593, "TRUE") = 1</formula>
    </cfRule>
  </conditionalFormatting>
  <conditionalFormatting sqref="L79">
    <cfRule type="expression" dxfId="0" priority="1198">
      <formula>COUNTIF(Checklist!$A599, "TRUE") = 1</formula>
    </cfRule>
  </conditionalFormatting>
  <conditionalFormatting sqref="L83">
    <cfRule type="expression" dxfId="0" priority="1294">
      <formula>COUNTIF(Checklist!$A635, "TRUE") = 1</formula>
    </cfRule>
  </conditionalFormatting>
  <conditionalFormatting sqref="L84">
    <cfRule type="expression" dxfId="0" priority="1300">
      <formula>COUNTIF(Checklist!$A641, "TRUE") = 1</formula>
    </cfRule>
  </conditionalFormatting>
  <conditionalFormatting sqref="L85">
    <cfRule type="expression" dxfId="0" priority="1306">
      <formula>COUNTIF(Checklist!$A647, "TRUE") = 1</formula>
    </cfRule>
  </conditionalFormatting>
  <conditionalFormatting sqref="L86">
    <cfRule type="expression" dxfId="0" priority="1312">
      <formula>COUNTIF(Checklist!$A653, "TRUE") = 1</formula>
    </cfRule>
  </conditionalFormatting>
  <conditionalFormatting sqref="L87">
    <cfRule type="expression" dxfId="0" priority="1318">
      <formula>COUNTIF(Checklist!$A659, "TRUE") = 1</formula>
    </cfRule>
  </conditionalFormatting>
  <conditionalFormatting sqref="L91">
    <cfRule type="expression" dxfId="0" priority="1414">
      <formula>COUNTIF(Checklist!$A695, "TRUE") = 1</formula>
    </cfRule>
  </conditionalFormatting>
  <conditionalFormatting sqref="L92">
    <cfRule type="expression" dxfId="0" priority="1420">
      <formula>COUNTIF(Checklist!$A701, "TRUE") = 1</formula>
    </cfRule>
  </conditionalFormatting>
  <conditionalFormatting sqref="L93">
    <cfRule type="expression" dxfId="0" priority="1426">
      <formula>COUNTIF(Checklist!$A707, "TRUE") = 1</formula>
    </cfRule>
  </conditionalFormatting>
  <conditionalFormatting sqref="L94">
    <cfRule type="expression" dxfId="0" priority="1432">
      <formula>COUNTIF(Checklist!$A713, "TRUE") = 1</formula>
    </cfRule>
  </conditionalFormatting>
  <conditionalFormatting sqref="L95">
    <cfRule type="expression" dxfId="0" priority="1438">
      <formula>COUNTIF(Checklist!$None, "TRUE") = 1</formula>
    </cfRule>
  </conditionalFormatting>
  <conditionalFormatting sqref="L99">
    <cfRule type="expression" dxfId="0" priority="1534">
      <formula>COUNTIF(Checklist!$A755, "TRUE") = 1</formula>
    </cfRule>
  </conditionalFormatting>
  <conditionalFormatting sqref="M100">
    <cfRule type="expression" dxfId="0" priority="1541">
      <formula>COUNTIF(Checklist!$A762, "TRUE") = 1</formula>
    </cfRule>
  </conditionalFormatting>
  <conditionalFormatting sqref="M101">
    <cfRule type="expression" dxfId="0" priority="1547">
      <formula>COUNTIF(Checklist!$A768, "TRUE") = 1</formula>
    </cfRule>
  </conditionalFormatting>
  <conditionalFormatting sqref="M102">
    <cfRule type="expression" dxfId="0" priority="1553">
      <formula>COUNTIF(Checklist!$A774, "TRUE") = 1</formula>
    </cfRule>
  </conditionalFormatting>
  <conditionalFormatting sqref="M103">
    <cfRule type="expression" dxfId="0" priority="1559">
      <formula>COUNTIF(Checklist!$A780, "TRUE") = 1</formula>
    </cfRule>
  </conditionalFormatting>
  <conditionalFormatting sqref="M107">
    <cfRule type="expression" dxfId="0" priority="1655">
      <formula>COUNTIF(Checklist!$A816, "TRUE") = 1</formula>
    </cfRule>
  </conditionalFormatting>
  <conditionalFormatting sqref="M108">
    <cfRule type="expression" dxfId="0" priority="1661">
      <formula>COUNTIF(Checklist!$A822, "TRUE") = 1</formula>
    </cfRule>
  </conditionalFormatting>
  <conditionalFormatting sqref="M109">
    <cfRule type="expression" dxfId="0" priority="1667">
      <formula>COUNTIF(Checklist!$A828, "TRUE") = 1</formula>
    </cfRule>
  </conditionalFormatting>
  <conditionalFormatting sqref="M11">
    <cfRule type="expression" dxfId="0" priority="215">
      <formula>COUNTIF(Checklist!$A96, "TRUE") = 1</formula>
    </cfRule>
  </conditionalFormatting>
  <conditionalFormatting sqref="M110">
    <cfRule type="expression" dxfId="0" priority="1673">
      <formula>COUNTIF(Checklist!$A834, "TRUE") = 1</formula>
    </cfRule>
  </conditionalFormatting>
  <conditionalFormatting sqref="M111">
    <cfRule type="expression" dxfId="0" priority="1679">
      <formula>COUNTIF(Checklist!$A840, "TRUE") = 1</formula>
    </cfRule>
  </conditionalFormatting>
  <conditionalFormatting sqref="M115">
    <cfRule type="expression" dxfId="0" priority="1775">
      <formula>COUNTIF(Checklist!$None, "TRUE") = 1</formula>
    </cfRule>
  </conditionalFormatting>
  <conditionalFormatting sqref="M116">
    <cfRule type="expression" dxfId="0" priority="1781">
      <formula>COUNTIF(Checklist!$A882, "TRUE") = 1</formula>
    </cfRule>
  </conditionalFormatting>
  <conditionalFormatting sqref="M117">
    <cfRule type="expression" dxfId="0" priority="1787">
      <formula>COUNTIF(Checklist!$A888, "TRUE") = 1</formula>
    </cfRule>
  </conditionalFormatting>
  <conditionalFormatting sqref="M118">
    <cfRule type="expression" dxfId="0" priority="1793">
      <formula>COUNTIF(Checklist!$A894, "TRUE") = 1</formula>
    </cfRule>
  </conditionalFormatting>
  <conditionalFormatting sqref="M119">
    <cfRule type="expression" dxfId="0" priority="1799">
      <formula>COUNTIF(Checklist!$A900, "TRUE") = 1</formula>
    </cfRule>
  </conditionalFormatting>
  <conditionalFormatting sqref="M12">
    <cfRule type="expression" dxfId="0" priority="221">
      <formula>COUNTIF(Checklist!$A102, "TRUE") = 1</formula>
    </cfRule>
  </conditionalFormatting>
  <conditionalFormatting sqref="M123">
    <cfRule type="expression" dxfId="0" priority="1820">
      <formula>COUNTIF(Checklist!$None, "TRUE") = 1</formula>
    </cfRule>
  </conditionalFormatting>
  <conditionalFormatting sqref="M124">
    <cfRule type="expression" dxfId="0" priority="1826">
      <formula>COUNTIF(Checklist!$None, "TRUE") = 1</formula>
    </cfRule>
  </conditionalFormatting>
  <conditionalFormatting sqref="M125">
    <cfRule type="expression" dxfId="0" priority="1832">
      <formula>COUNTIF(Checklist!$None, "TRUE") = 1</formula>
    </cfRule>
  </conditionalFormatting>
  <conditionalFormatting sqref="M126">
    <cfRule type="expression" dxfId="0" priority="1838">
      <formula>COUNTIF(Checklist!$None, "TRUE") = 1</formula>
    </cfRule>
  </conditionalFormatting>
  <conditionalFormatting sqref="M127">
    <cfRule type="expression" dxfId="0" priority="1844">
      <formula>COUNTIF(Checklist!$None, "TRUE") = 1</formula>
    </cfRule>
  </conditionalFormatting>
  <conditionalFormatting sqref="M13">
    <cfRule type="expression" dxfId="0" priority="227">
      <formula>COUNTIF(Checklist!$A108, "TRUE") = 1</formula>
    </cfRule>
  </conditionalFormatting>
  <conditionalFormatting sqref="M131">
    <cfRule type="expression" dxfId="0" priority="1940">
      <formula>COUNTIF(Checklist!$None, "TRUE") = 1</formula>
    </cfRule>
  </conditionalFormatting>
  <conditionalFormatting sqref="M132">
    <cfRule type="expression" dxfId="0" priority="1946">
      <formula>COUNTIF(Checklist!$None, "TRUE") = 1</formula>
    </cfRule>
  </conditionalFormatting>
  <conditionalFormatting sqref="M133">
    <cfRule type="expression" dxfId="0" priority="1952">
      <formula>COUNTIF(Checklist!$None, "TRUE") = 1</formula>
    </cfRule>
  </conditionalFormatting>
  <conditionalFormatting sqref="M134">
    <cfRule type="expression" dxfId="0" priority="1958">
      <formula>COUNTIF(Checklist!$None, "TRUE") = 1</formula>
    </cfRule>
  </conditionalFormatting>
  <conditionalFormatting sqref="M135">
    <cfRule type="expression" dxfId="0" priority="1964">
      <formula>COUNTIF(Checklist!$None, "TRUE") = 1</formula>
    </cfRule>
  </conditionalFormatting>
  <conditionalFormatting sqref="M139">
    <cfRule type="expression" dxfId="0" priority="2006">
      <formula>COUNTIF(Checklist!$None, "TRUE") = 1</formula>
    </cfRule>
  </conditionalFormatting>
  <conditionalFormatting sqref="M14">
    <cfRule type="expression" dxfId="0" priority="233">
      <formula>COUNTIF(Checklist!$A114, "TRUE") = 1</formula>
    </cfRule>
  </conditionalFormatting>
  <conditionalFormatting sqref="M147">
    <cfRule type="expression" dxfId="0" priority="2099">
      <formula>COUNTIF(Checklist!$None, "TRUE") = 1</formula>
    </cfRule>
  </conditionalFormatting>
  <conditionalFormatting sqref="M148">
    <cfRule type="expression" dxfId="0" priority="2105">
      <formula>COUNTIF(Checklist!$A424, "TRUE") = 1</formula>
    </cfRule>
  </conditionalFormatting>
  <conditionalFormatting sqref="M149">
    <cfRule type="expression" dxfId="0" priority="2111">
      <formula>COUNTIF(Checklist!$None, "TRUE") = 1</formula>
    </cfRule>
  </conditionalFormatting>
  <conditionalFormatting sqref="M15">
    <cfRule type="expression" dxfId="0" priority="239">
      <formula>COUNTIF(Checklist!$A120, "TRUE") = 1</formula>
    </cfRule>
  </conditionalFormatting>
  <conditionalFormatting sqref="M150">
    <cfRule type="expression" dxfId="0" priority="2117">
      <formula>COUNTIF(Checklist!$A1022, "TRUE") = 1</formula>
    </cfRule>
  </conditionalFormatting>
  <conditionalFormatting sqref="M155">
    <cfRule type="expression" dxfId="0" priority="2203">
      <formula>COUNTIF(Checklist!$None, "TRUE") = 1</formula>
    </cfRule>
  </conditionalFormatting>
  <conditionalFormatting sqref="M156">
    <cfRule type="expression" dxfId="0" priority="2209">
      <formula>COUNTIF(Checklist!$None, "TRUE") = 1</formula>
    </cfRule>
  </conditionalFormatting>
  <conditionalFormatting sqref="M157">
    <cfRule type="expression" dxfId="0" priority="2215">
      <formula>COUNTIF(Checklist!$None, "TRUE") = 1</formula>
    </cfRule>
  </conditionalFormatting>
  <conditionalFormatting sqref="M158">
    <cfRule type="expression" dxfId="0" priority="2221">
      <formula>COUNTIF(Checklist!$None, "TRUE") = 1</formula>
    </cfRule>
  </conditionalFormatting>
  <conditionalFormatting sqref="M163">
    <cfRule type="expression" dxfId="0" priority="2316">
      <formula>COUNTIF(Checklist!$None, "TRUE") = 1</formula>
    </cfRule>
  </conditionalFormatting>
  <conditionalFormatting sqref="M164">
    <cfRule type="expression" dxfId="0" priority="2322">
      <formula>COUNTIF(Checklist!$None, "TRUE") = 1</formula>
    </cfRule>
  </conditionalFormatting>
  <conditionalFormatting sqref="M165">
    <cfRule type="expression" dxfId="0" priority="2328">
      <formula>COUNTIF(Checklist!$None, "TRUE") = 1</formula>
    </cfRule>
  </conditionalFormatting>
  <conditionalFormatting sqref="M171">
    <cfRule type="expression" dxfId="0" priority="2399">
      <formula>COUNTIF(Checklist!$None, "TRUE") = 1</formula>
    </cfRule>
  </conditionalFormatting>
  <conditionalFormatting sqref="M172">
    <cfRule type="expression" dxfId="0" priority="2405">
      <formula>COUNTIF(Checklist!$None, "TRUE") = 1</formula>
    </cfRule>
  </conditionalFormatting>
  <conditionalFormatting sqref="M173">
    <cfRule type="expression" dxfId="0" priority="2411">
      <formula>COUNTIF(Checklist!$None, "TRUE") = 1</formula>
    </cfRule>
  </conditionalFormatting>
  <conditionalFormatting sqref="M174">
    <cfRule type="expression" dxfId="0" priority="2417">
      <formula>COUNTIF(Checklist!$None, "TRUE") = 1</formula>
    </cfRule>
  </conditionalFormatting>
  <conditionalFormatting sqref="M179">
    <cfRule type="expression" dxfId="0" priority="2510">
      <formula>COUNTIF(Checklist!$None, "TRUE") = 1</formula>
    </cfRule>
  </conditionalFormatting>
  <conditionalFormatting sqref="M180">
    <cfRule type="expression" dxfId="0" priority="2516">
      <formula>COUNTIF(Checklist!$None, "TRUE") = 1</formula>
    </cfRule>
  </conditionalFormatting>
  <conditionalFormatting sqref="M181">
    <cfRule type="expression" dxfId="0" priority="2522">
      <formula>COUNTIF(Checklist!$None, "TRUE") = 1</formula>
    </cfRule>
  </conditionalFormatting>
  <conditionalFormatting sqref="M182">
    <cfRule type="expression" dxfId="0" priority="2528">
      <formula>COUNTIF(Checklist!$None, "TRUE") = 1</formula>
    </cfRule>
  </conditionalFormatting>
  <conditionalFormatting sqref="M187">
    <cfRule type="expression" dxfId="0" priority="2559">
      <formula>COUNTIF(Checklist!$A13, "TRUE") = 1</formula>
    </cfRule>
  </conditionalFormatting>
  <conditionalFormatting sqref="M188">
    <cfRule type="expression" dxfId="0" priority="2565">
      <formula>COUNTIF(Checklist!$A95, "TRUE") = 1</formula>
    </cfRule>
  </conditionalFormatting>
  <conditionalFormatting sqref="M189">
    <cfRule type="expression" dxfId="0" priority="2571">
      <formula>COUNTIF(Checklist!$A570, "TRUE") = 1</formula>
    </cfRule>
  </conditionalFormatting>
  <conditionalFormatting sqref="M19">
    <cfRule type="expression" dxfId="0" priority="335">
      <formula>COUNTIF(Checklist!$A156, "TRUE") = 1</formula>
    </cfRule>
  </conditionalFormatting>
  <conditionalFormatting sqref="M190">
    <cfRule type="expression" dxfId="0" priority="2577">
      <formula>COUNTIF(Checklist!$A827, "TRUE") = 1</formula>
    </cfRule>
  </conditionalFormatting>
  <conditionalFormatting sqref="M191">
    <cfRule type="expression" dxfId="0" priority="2583">
      <formula>COUNTIF(Checklist!$None, "TRUE") = 1</formula>
    </cfRule>
  </conditionalFormatting>
  <conditionalFormatting sqref="M20">
    <cfRule type="expression" dxfId="0" priority="341">
      <formula>COUNTIF(Checklist!$A162, "TRUE") = 1</formula>
    </cfRule>
  </conditionalFormatting>
  <conditionalFormatting sqref="M203">
    <cfRule type="expression" dxfId="0" priority="2667">
      <formula>COUNTIF(Checklist!$A1176, "TRUE") = 1</formula>
    </cfRule>
  </conditionalFormatting>
  <conditionalFormatting sqref="M204">
    <cfRule type="expression" dxfId="0" priority="2673">
      <formula>COUNTIF(Checklist!$A1182, "TRUE") = 1</formula>
    </cfRule>
  </conditionalFormatting>
  <conditionalFormatting sqref="M205">
    <cfRule type="expression" dxfId="0" priority="2679">
      <formula>COUNTIF(Checklist!$None, "TRUE") = 1</formula>
    </cfRule>
  </conditionalFormatting>
  <conditionalFormatting sqref="M21">
    <cfRule type="expression" dxfId="0" priority="347">
      <formula>COUNTIF(Checklist!$A168, "TRUE") = 1</formula>
    </cfRule>
  </conditionalFormatting>
  <conditionalFormatting sqref="M22">
    <cfRule type="expression" dxfId="0" priority="353">
      <formula>COUNTIF(Checklist!$A174, "TRUE") = 1</formula>
    </cfRule>
  </conditionalFormatting>
  <conditionalFormatting sqref="M23">
    <cfRule type="expression" dxfId="0" priority="359">
      <formula>COUNTIF(Checklist!$A180, "TRUE") = 1</formula>
    </cfRule>
  </conditionalFormatting>
  <conditionalFormatting sqref="M27">
    <cfRule type="expression" dxfId="0" priority="455">
      <formula>COUNTIF(Checklist!$A216, "TRUE") = 1</formula>
    </cfRule>
  </conditionalFormatting>
  <conditionalFormatting sqref="M28">
    <cfRule type="expression" dxfId="0" priority="461">
      <formula>COUNTIF(Checklist!$A222, "TRUE") = 1</formula>
    </cfRule>
  </conditionalFormatting>
  <conditionalFormatting sqref="M29">
    <cfRule type="expression" dxfId="0" priority="467">
      <formula>COUNTIF(Checklist!$A228, "TRUE") = 1</formula>
    </cfRule>
  </conditionalFormatting>
  <conditionalFormatting sqref="M3">
    <cfRule type="expression" dxfId="0" priority="95">
      <formula>COUNTIF(Checklist!$A36, "TRUE") = 1</formula>
    </cfRule>
  </conditionalFormatting>
  <conditionalFormatting sqref="M30">
    <cfRule type="expression" dxfId="0" priority="473">
      <formula>COUNTIF(Checklist!$A234, "TRUE") = 1</formula>
    </cfRule>
  </conditionalFormatting>
  <conditionalFormatting sqref="M31">
    <cfRule type="expression" dxfId="0" priority="479">
      <formula>COUNTIF(Checklist!$A240, "TRUE") = 1</formula>
    </cfRule>
  </conditionalFormatting>
  <conditionalFormatting sqref="M35">
    <cfRule type="expression" dxfId="0" priority="575">
      <formula>COUNTIF(Checklist!$A276, "TRUE") = 1</formula>
    </cfRule>
  </conditionalFormatting>
  <conditionalFormatting sqref="M36">
    <cfRule type="expression" dxfId="0" priority="581">
      <formula>COUNTIF(Checklist!$A282, "TRUE") = 1</formula>
    </cfRule>
  </conditionalFormatting>
  <conditionalFormatting sqref="M37">
    <cfRule type="expression" dxfId="0" priority="587">
      <formula>COUNTIF(Checklist!$A288, "TRUE") = 1</formula>
    </cfRule>
  </conditionalFormatting>
  <conditionalFormatting sqref="M38">
    <cfRule type="expression" dxfId="0" priority="593">
      <formula>COUNTIF(Checklist!$A294, "TRUE") = 1</formula>
    </cfRule>
  </conditionalFormatting>
  <conditionalFormatting sqref="M39">
    <cfRule type="expression" dxfId="0" priority="599">
      <formula>COUNTIF(Checklist!$A300, "TRUE") = 1</formula>
    </cfRule>
  </conditionalFormatting>
  <conditionalFormatting sqref="M4">
    <cfRule type="expression" dxfId="0" priority="101">
      <formula>COUNTIF(Checklist!$A42, "TRUE") = 1</formula>
    </cfRule>
  </conditionalFormatting>
  <conditionalFormatting sqref="M43">
    <cfRule type="expression" dxfId="0" priority="695">
      <formula>COUNTIF(Checklist!$A336, "TRUE") = 1</formula>
    </cfRule>
  </conditionalFormatting>
  <conditionalFormatting sqref="M44">
    <cfRule type="expression" dxfId="0" priority="701">
      <formula>COUNTIF(Checklist!$A342, "TRUE") = 1</formula>
    </cfRule>
  </conditionalFormatting>
  <conditionalFormatting sqref="M45">
    <cfRule type="expression" dxfId="0" priority="707">
      <formula>COUNTIF(Checklist!$A348, "TRUE") = 1</formula>
    </cfRule>
  </conditionalFormatting>
  <conditionalFormatting sqref="M46">
    <cfRule type="expression" dxfId="0" priority="713">
      <formula>COUNTIF(Checklist!$A354, "TRUE") = 1</formula>
    </cfRule>
  </conditionalFormatting>
  <conditionalFormatting sqref="M47">
    <cfRule type="expression" dxfId="0" priority="719">
      <formula>COUNTIF(Checklist!$A360, "TRUE") = 1</formula>
    </cfRule>
  </conditionalFormatting>
  <conditionalFormatting sqref="M5">
    <cfRule type="expression" dxfId="0" priority="107">
      <formula>COUNTIF(Checklist!$A48, "TRUE") = 1</formula>
    </cfRule>
  </conditionalFormatting>
  <conditionalFormatting sqref="M51">
    <cfRule type="expression" dxfId="0" priority="815">
      <formula>COUNTIF(Checklist!$A396, "TRUE") = 1</formula>
    </cfRule>
  </conditionalFormatting>
  <conditionalFormatting sqref="M52">
    <cfRule type="expression" dxfId="0" priority="821">
      <formula>COUNTIF(Checklist!$A402, "TRUE") = 1</formula>
    </cfRule>
  </conditionalFormatting>
  <conditionalFormatting sqref="M53">
    <cfRule type="expression" dxfId="0" priority="827">
      <formula>COUNTIF(Checklist!$A408, "TRUE") = 1</formula>
    </cfRule>
  </conditionalFormatting>
  <conditionalFormatting sqref="M54">
    <cfRule type="expression" dxfId="0" priority="833">
      <formula>COUNTIF(Checklist!$None, "TRUE") = 1</formula>
    </cfRule>
  </conditionalFormatting>
  <conditionalFormatting sqref="M55">
    <cfRule type="expression" dxfId="0" priority="839">
      <formula>COUNTIF(Checklist!$A420, "TRUE") = 1</formula>
    </cfRule>
  </conditionalFormatting>
  <conditionalFormatting sqref="M59">
    <cfRule type="expression" dxfId="0" priority="935">
      <formula>COUNTIF(Checklist!$A456, "TRUE") = 1</formula>
    </cfRule>
  </conditionalFormatting>
  <conditionalFormatting sqref="M6">
    <cfRule type="expression" dxfId="0" priority="113">
      <formula>COUNTIF(Checklist!$A54, "TRUE") = 1</formula>
    </cfRule>
  </conditionalFormatting>
  <conditionalFormatting sqref="M60">
    <cfRule type="expression" dxfId="0" priority="941">
      <formula>COUNTIF(Checklist!$A462, "TRUE") = 1</formula>
    </cfRule>
  </conditionalFormatting>
  <conditionalFormatting sqref="M61">
    <cfRule type="expression" dxfId="0" priority="947">
      <formula>COUNTIF(Checklist!$A468, "TRUE") = 1</formula>
    </cfRule>
  </conditionalFormatting>
  <conditionalFormatting sqref="M62">
    <cfRule type="expression" dxfId="0" priority="953">
      <formula>COUNTIF(Checklist!$A474, "TRUE") = 1</formula>
    </cfRule>
  </conditionalFormatting>
  <conditionalFormatting sqref="M63">
    <cfRule type="expression" dxfId="0" priority="959">
      <formula>COUNTIF(Checklist!$A480, "TRUE") = 1</formula>
    </cfRule>
  </conditionalFormatting>
  <conditionalFormatting sqref="M67">
    <cfRule type="expression" dxfId="0" priority="1055">
      <formula>COUNTIF(Checklist!$A516, "TRUE") = 1</formula>
    </cfRule>
  </conditionalFormatting>
  <conditionalFormatting sqref="M68">
    <cfRule type="expression" dxfId="0" priority="1061">
      <formula>COUNTIF(Checklist!$A522, "TRUE") = 1</formula>
    </cfRule>
  </conditionalFormatting>
  <conditionalFormatting sqref="M69">
    <cfRule type="expression" dxfId="0" priority="1067">
      <formula>COUNTIF(Checklist!$A528, "TRUE") = 1</formula>
    </cfRule>
  </conditionalFormatting>
  <conditionalFormatting sqref="M7">
    <cfRule type="expression" dxfId="0" priority="119">
      <formula>COUNTIF(Checklist!$A60, "TRUE") = 1</formula>
    </cfRule>
  </conditionalFormatting>
  <conditionalFormatting sqref="M70">
    <cfRule type="expression" dxfId="0" priority="1073">
      <formula>COUNTIF(Checklist!$A534, "TRUE") = 1</formula>
    </cfRule>
  </conditionalFormatting>
  <conditionalFormatting sqref="M71">
    <cfRule type="expression" dxfId="0" priority="1079">
      <formula>COUNTIF(Checklist!$A540, "TRUE") = 1</formula>
    </cfRule>
  </conditionalFormatting>
  <conditionalFormatting sqref="M75">
    <cfRule type="expression" dxfId="0" priority="1175">
      <formula>COUNTIF(Checklist!$A576, "TRUE") = 1</formula>
    </cfRule>
  </conditionalFormatting>
  <conditionalFormatting sqref="M76">
    <cfRule type="expression" dxfId="0" priority="1181">
      <formula>COUNTIF(Checklist!$A582, "TRUE") = 1</formula>
    </cfRule>
  </conditionalFormatting>
  <conditionalFormatting sqref="M77">
    <cfRule type="expression" dxfId="0" priority="1187">
      <formula>COUNTIF(Checklist!$A588, "TRUE") = 1</formula>
    </cfRule>
  </conditionalFormatting>
  <conditionalFormatting sqref="M78">
    <cfRule type="expression" dxfId="0" priority="1193">
      <formula>COUNTIF(Checklist!$A594, "TRUE") = 1</formula>
    </cfRule>
  </conditionalFormatting>
  <conditionalFormatting sqref="M79">
    <cfRule type="expression" dxfId="0" priority="1199">
      <formula>COUNTIF(Checklist!$A600, "TRUE") = 1</formula>
    </cfRule>
  </conditionalFormatting>
  <conditionalFormatting sqref="M83">
    <cfRule type="expression" dxfId="0" priority="1295">
      <formula>COUNTIF(Checklist!$A636, "TRUE") = 1</formula>
    </cfRule>
  </conditionalFormatting>
  <conditionalFormatting sqref="M84">
    <cfRule type="expression" dxfId="0" priority="1301">
      <formula>COUNTIF(Checklist!$None, "TRUE") = 1</formula>
    </cfRule>
  </conditionalFormatting>
  <conditionalFormatting sqref="M85">
    <cfRule type="expression" dxfId="0" priority="1307">
      <formula>COUNTIF(Checklist!$None, "TRUE") = 1</formula>
    </cfRule>
  </conditionalFormatting>
  <conditionalFormatting sqref="M86">
    <cfRule type="expression" dxfId="0" priority="1313">
      <formula>COUNTIF(Checklist!$A654, "TRUE") = 1</formula>
    </cfRule>
  </conditionalFormatting>
  <conditionalFormatting sqref="M87">
    <cfRule type="expression" dxfId="0" priority="1319">
      <formula>COUNTIF(Checklist!$A660, "TRUE") = 1</formula>
    </cfRule>
  </conditionalFormatting>
  <conditionalFormatting sqref="M91">
    <cfRule type="expression" dxfId="0" priority="1415">
      <formula>COUNTIF(Checklist!$A696, "TRUE") = 1</formula>
    </cfRule>
  </conditionalFormatting>
  <conditionalFormatting sqref="M92">
    <cfRule type="expression" dxfId="0" priority="1421">
      <formula>COUNTIF(Checklist!$A702, "TRUE") = 1</formula>
    </cfRule>
  </conditionalFormatting>
  <conditionalFormatting sqref="M93">
    <cfRule type="expression" dxfId="0" priority="1427">
      <formula>COUNTIF(Checklist!$A708, "TRUE") = 1</formula>
    </cfRule>
  </conditionalFormatting>
  <conditionalFormatting sqref="M94">
    <cfRule type="expression" dxfId="0" priority="1433">
      <formula>COUNTIF(Checklist!$A714, "TRUE") = 1</formula>
    </cfRule>
  </conditionalFormatting>
  <conditionalFormatting sqref="M95">
    <cfRule type="expression" dxfId="0" priority="1439">
      <formula>COUNTIF(Checklist!$A720, "TRUE") = 1</formula>
    </cfRule>
  </conditionalFormatting>
  <conditionalFormatting sqref="M99">
    <cfRule type="expression" dxfId="0" priority="1535">
      <formula>COUNTIF(Checklist!$A756, "TRUE") = 1</formula>
    </cfRule>
  </conditionalFormatting>
  <conditionalFormatting sqref="N100">
    <cfRule type="expression" dxfId="0" priority="1542">
      <formula>COUNTIF(Checklist!$A763, "TRUE") = 1</formula>
    </cfRule>
  </conditionalFormatting>
  <conditionalFormatting sqref="N101">
    <cfRule type="expression" dxfId="0" priority="1548">
      <formula>COUNTIF(Checklist!$A769, "TRUE") = 1</formula>
    </cfRule>
  </conditionalFormatting>
  <conditionalFormatting sqref="N102">
    <cfRule type="expression" dxfId="0" priority="1554">
      <formula>COUNTIF(Checklist!$A1147, "TRUE") = 1</formula>
    </cfRule>
  </conditionalFormatting>
  <conditionalFormatting sqref="N103">
    <cfRule type="expression" dxfId="0" priority="1560">
      <formula>COUNTIF(Checklist!$A781, "TRUE") = 1</formula>
    </cfRule>
  </conditionalFormatting>
  <conditionalFormatting sqref="N107">
    <cfRule type="expression" dxfId="0" priority="1656">
      <formula>COUNTIF(Checklist!$A817, "TRUE") = 1</formula>
    </cfRule>
  </conditionalFormatting>
  <conditionalFormatting sqref="N108">
    <cfRule type="expression" dxfId="0" priority="1662">
      <formula>COUNTIF(Checklist!$A823, "TRUE") = 1</formula>
    </cfRule>
  </conditionalFormatting>
  <conditionalFormatting sqref="N109">
    <cfRule type="expression" dxfId="0" priority="1668">
      <formula>COUNTIF(Checklist!$A829, "TRUE") = 1</formula>
    </cfRule>
  </conditionalFormatting>
  <conditionalFormatting sqref="N11">
    <cfRule type="expression" dxfId="0" priority="216">
      <formula>COUNTIF(Checklist!$A97, "TRUE") = 1</formula>
    </cfRule>
  </conditionalFormatting>
  <conditionalFormatting sqref="N110">
    <cfRule type="expression" dxfId="0" priority="1674">
      <formula>COUNTIF(Checklist!$A835, "TRUE") = 1</formula>
    </cfRule>
  </conditionalFormatting>
  <conditionalFormatting sqref="N111">
    <cfRule type="expression" dxfId="0" priority="1680">
      <formula>COUNTIF(Checklist!$A841, "TRUE") = 1</formula>
    </cfRule>
  </conditionalFormatting>
  <conditionalFormatting sqref="N115">
    <cfRule type="expression" dxfId="0" priority="1776">
      <formula>COUNTIF(Checklist!$None, "TRUE") = 1</formula>
    </cfRule>
  </conditionalFormatting>
  <conditionalFormatting sqref="N116">
    <cfRule type="expression" dxfId="0" priority="1782">
      <formula>COUNTIF(Checklist!$A883, "TRUE") = 1</formula>
    </cfRule>
  </conditionalFormatting>
  <conditionalFormatting sqref="N117">
    <cfRule type="expression" dxfId="0" priority="1788">
      <formula>COUNTIF(Checklist!$A889, "TRUE") = 1</formula>
    </cfRule>
  </conditionalFormatting>
  <conditionalFormatting sqref="N118">
    <cfRule type="expression" dxfId="0" priority="1794">
      <formula>COUNTIF(Checklist!$A895, "TRUE") = 1</formula>
    </cfRule>
  </conditionalFormatting>
  <conditionalFormatting sqref="N119">
    <cfRule type="expression" dxfId="0" priority="1800">
      <formula>COUNTIF(Checklist!$A901, "TRUE") = 1</formula>
    </cfRule>
  </conditionalFormatting>
  <conditionalFormatting sqref="N12">
    <cfRule type="expression" dxfId="0" priority="222">
      <formula>COUNTIF(Checklist!$A103, "TRUE") = 1</formula>
    </cfRule>
  </conditionalFormatting>
  <conditionalFormatting sqref="N123">
    <cfRule type="expression" dxfId="0" priority="1821">
      <formula>COUNTIF(Checklist!$None, "TRUE") = 1</formula>
    </cfRule>
  </conditionalFormatting>
  <conditionalFormatting sqref="N124">
    <cfRule type="expression" dxfId="0" priority="1827">
      <formula>COUNTIF(Checklist!$None, "TRUE") = 1</formula>
    </cfRule>
  </conditionalFormatting>
  <conditionalFormatting sqref="N125">
    <cfRule type="expression" dxfId="0" priority="1833">
      <formula>COUNTIF(Checklist!$None, "TRUE") = 1</formula>
    </cfRule>
  </conditionalFormatting>
  <conditionalFormatting sqref="N126">
    <cfRule type="expression" dxfId="0" priority="1839">
      <formula>COUNTIF(Checklist!$None, "TRUE") = 1</formula>
    </cfRule>
  </conditionalFormatting>
  <conditionalFormatting sqref="N127">
    <cfRule type="expression" dxfId="0" priority="1845">
      <formula>COUNTIF(Checklist!$None, "TRUE") = 1</formula>
    </cfRule>
  </conditionalFormatting>
  <conditionalFormatting sqref="N13">
    <cfRule type="expression" dxfId="0" priority="228">
      <formula>COUNTIF(Checklist!$A109, "TRUE") = 1</formula>
    </cfRule>
  </conditionalFormatting>
  <conditionalFormatting sqref="N131">
    <cfRule type="expression" dxfId="0" priority="1941">
      <formula>COUNTIF(Checklist!$None, "TRUE") = 1</formula>
    </cfRule>
  </conditionalFormatting>
  <conditionalFormatting sqref="N132">
    <cfRule type="expression" dxfId="0" priority="1947">
      <formula>COUNTIF(Checklist!$None, "TRUE") = 1</formula>
    </cfRule>
  </conditionalFormatting>
  <conditionalFormatting sqref="N133">
    <cfRule type="expression" dxfId="0" priority="1953">
      <formula>COUNTIF(Checklist!$None, "TRUE") = 1</formula>
    </cfRule>
  </conditionalFormatting>
  <conditionalFormatting sqref="N134">
    <cfRule type="expression" dxfId="0" priority="1959">
      <formula>COUNTIF(Checklist!$None, "TRUE") = 1</formula>
    </cfRule>
  </conditionalFormatting>
  <conditionalFormatting sqref="N135">
    <cfRule type="expression" dxfId="0" priority="1965">
      <formula>COUNTIF(Checklist!$None, "TRUE") = 1</formula>
    </cfRule>
  </conditionalFormatting>
  <conditionalFormatting sqref="N139">
    <cfRule type="expression" dxfId="0" priority="2007">
      <formula>COUNTIF(Checklist!$None, "TRUE") = 1</formula>
    </cfRule>
  </conditionalFormatting>
  <conditionalFormatting sqref="N14">
    <cfRule type="expression" dxfId="0" priority="234">
      <formula>COUNTIF(Checklist!$A115, "TRUE") = 1</formula>
    </cfRule>
  </conditionalFormatting>
  <conditionalFormatting sqref="N147">
    <cfRule type="expression" dxfId="0" priority="2100">
      <formula>COUNTIF(Checklist!$None, "TRUE") = 1</formula>
    </cfRule>
  </conditionalFormatting>
  <conditionalFormatting sqref="N148">
    <cfRule type="expression" dxfId="0" priority="2106">
      <formula>COUNTIF(Checklist!$None, "TRUE") = 1</formula>
    </cfRule>
  </conditionalFormatting>
  <conditionalFormatting sqref="N149">
    <cfRule type="expression" dxfId="0" priority="2112">
      <formula>COUNTIF(Checklist!$None, "TRUE") = 1</formula>
    </cfRule>
  </conditionalFormatting>
  <conditionalFormatting sqref="N15">
    <cfRule type="expression" dxfId="0" priority="240">
      <formula>COUNTIF(Checklist!$A121, "TRUE") = 1</formula>
    </cfRule>
  </conditionalFormatting>
  <conditionalFormatting sqref="N150">
    <cfRule type="expression" dxfId="0" priority="2118">
      <formula>COUNTIF(Checklist!$A1023, "TRUE") = 1</formula>
    </cfRule>
  </conditionalFormatting>
  <conditionalFormatting sqref="N155">
    <cfRule type="expression" dxfId="0" priority="2204">
      <formula>COUNTIF(Checklist!$None, "TRUE") = 1</formula>
    </cfRule>
  </conditionalFormatting>
  <conditionalFormatting sqref="N156">
    <cfRule type="expression" dxfId="0" priority="2210">
      <formula>COUNTIF(Checklist!$None, "TRUE") = 1</formula>
    </cfRule>
  </conditionalFormatting>
  <conditionalFormatting sqref="N157">
    <cfRule type="expression" dxfId="0" priority="2216">
      <formula>COUNTIF(Checklist!$None, "TRUE") = 1</formula>
    </cfRule>
  </conditionalFormatting>
  <conditionalFormatting sqref="N163">
    <cfRule type="expression" dxfId="0" priority="2317">
      <formula>COUNTIF(Checklist!$None, "TRUE") = 1</formula>
    </cfRule>
  </conditionalFormatting>
  <conditionalFormatting sqref="N164">
    <cfRule type="expression" dxfId="0" priority="2323">
      <formula>COUNTIF(Checklist!$None, "TRUE") = 1</formula>
    </cfRule>
  </conditionalFormatting>
  <conditionalFormatting sqref="N165">
    <cfRule type="expression" dxfId="0" priority="2329">
      <formula>COUNTIF(Checklist!$None, "TRUE") = 1</formula>
    </cfRule>
  </conditionalFormatting>
  <conditionalFormatting sqref="N171">
    <cfRule type="expression" dxfId="0" priority="2400">
      <formula>COUNTIF(Checklist!$None, "TRUE") = 1</formula>
    </cfRule>
  </conditionalFormatting>
  <conditionalFormatting sqref="N172">
    <cfRule type="expression" dxfId="0" priority="2406">
      <formula>COUNTIF(Checklist!$None, "TRUE") = 1</formula>
    </cfRule>
  </conditionalFormatting>
  <conditionalFormatting sqref="N173">
    <cfRule type="expression" dxfId="0" priority="2412">
      <formula>COUNTIF(Checklist!$None, "TRUE") = 1</formula>
    </cfRule>
  </conditionalFormatting>
  <conditionalFormatting sqref="N174">
    <cfRule type="expression" dxfId="0" priority="2418">
      <formula>COUNTIF(Checklist!$None, "TRUE") = 1</formula>
    </cfRule>
  </conditionalFormatting>
  <conditionalFormatting sqref="N179">
    <cfRule type="expression" dxfId="0" priority="2511">
      <formula>COUNTIF(Checklist!$None, "TRUE") = 1</formula>
    </cfRule>
  </conditionalFormatting>
  <conditionalFormatting sqref="N180">
    <cfRule type="expression" dxfId="0" priority="2517">
      <formula>COUNTIF(Checklist!$None, "TRUE") = 1</formula>
    </cfRule>
  </conditionalFormatting>
  <conditionalFormatting sqref="N181">
    <cfRule type="expression" dxfId="0" priority="2523">
      <formula>COUNTIF(Checklist!$None, "TRUE") = 1</formula>
    </cfRule>
  </conditionalFormatting>
  <conditionalFormatting sqref="N182">
    <cfRule type="expression" dxfId="0" priority="2529">
      <formula>COUNTIF(Checklist!$None, "TRUE") = 1</formula>
    </cfRule>
  </conditionalFormatting>
  <conditionalFormatting sqref="N187">
    <cfRule type="expression" dxfId="0" priority="2560">
      <formula>COUNTIF(Checklist!$None, "TRUE") = 1</formula>
    </cfRule>
  </conditionalFormatting>
  <conditionalFormatting sqref="N188">
    <cfRule type="expression" dxfId="0" priority="2566">
      <formula>COUNTIF(Checklist!$A100, "TRUE") = 1</formula>
    </cfRule>
  </conditionalFormatting>
  <conditionalFormatting sqref="N189">
    <cfRule type="expression" dxfId="0" priority="2572">
      <formula>COUNTIF(Checklist!$A810, "TRUE") = 1</formula>
    </cfRule>
  </conditionalFormatting>
  <conditionalFormatting sqref="N19">
    <cfRule type="expression" dxfId="0" priority="336">
      <formula>COUNTIF(Checklist!$A157, "TRUE") = 1</formula>
    </cfRule>
  </conditionalFormatting>
  <conditionalFormatting sqref="N190">
    <cfRule type="expression" dxfId="0" priority="2578">
      <formula>COUNTIF(Checklist!$A835, "TRUE") = 1</formula>
    </cfRule>
  </conditionalFormatting>
  <conditionalFormatting sqref="N191">
    <cfRule type="expression" dxfId="0" priority="2584">
      <formula>COUNTIF(Checklist!$A1195, "TRUE") = 1</formula>
    </cfRule>
  </conditionalFormatting>
  <conditionalFormatting sqref="N20">
    <cfRule type="expression" dxfId="0" priority="342">
      <formula>COUNTIF(Checklist!$A163, "TRUE") = 1</formula>
    </cfRule>
  </conditionalFormatting>
  <conditionalFormatting sqref="N203">
    <cfRule type="expression" dxfId="0" priority="2668">
      <formula>COUNTIF(Checklist!$A1177, "TRUE") = 1</formula>
    </cfRule>
  </conditionalFormatting>
  <conditionalFormatting sqref="N204">
    <cfRule type="expression" dxfId="0" priority="2674">
      <formula>COUNTIF(Checklist!$A1183, "TRUE") = 1</formula>
    </cfRule>
  </conditionalFormatting>
  <conditionalFormatting sqref="N205">
    <cfRule type="expression" dxfId="0" priority="2680">
      <formula>COUNTIF(Checklist!$A1190, "TRUE") = 1</formula>
    </cfRule>
  </conditionalFormatting>
  <conditionalFormatting sqref="N21">
    <cfRule type="expression" dxfId="0" priority="348">
      <formula>COUNTIF(Checklist!$A169, "TRUE") = 1</formula>
    </cfRule>
  </conditionalFormatting>
  <conditionalFormatting sqref="N22">
    <cfRule type="expression" dxfId="0" priority="354">
      <formula>COUNTIF(Checklist!$A175, "TRUE") = 1</formula>
    </cfRule>
  </conditionalFormatting>
  <conditionalFormatting sqref="N23">
    <cfRule type="expression" dxfId="0" priority="360">
      <formula>COUNTIF(Checklist!$A181, "TRUE") = 1</formula>
    </cfRule>
  </conditionalFormatting>
  <conditionalFormatting sqref="N27">
    <cfRule type="expression" dxfId="0" priority="456">
      <formula>COUNTIF(Checklist!$A217, "TRUE") = 1</formula>
    </cfRule>
  </conditionalFormatting>
  <conditionalFormatting sqref="N28">
    <cfRule type="expression" dxfId="0" priority="462">
      <formula>COUNTIF(Checklist!$A223, "TRUE") = 1</formula>
    </cfRule>
  </conditionalFormatting>
  <conditionalFormatting sqref="N29">
    <cfRule type="expression" dxfId="0" priority="468">
      <formula>COUNTIF(Checklist!$A229, "TRUE") = 1</formula>
    </cfRule>
  </conditionalFormatting>
  <conditionalFormatting sqref="N3">
    <cfRule type="expression" dxfId="0" priority="96">
      <formula>COUNTIF(Checklist!$A37, "TRUE") = 1</formula>
    </cfRule>
  </conditionalFormatting>
  <conditionalFormatting sqref="N30">
    <cfRule type="expression" dxfId="0" priority="474">
      <formula>COUNTIF(Checklist!$A235, "TRUE") = 1</formula>
    </cfRule>
  </conditionalFormatting>
  <conditionalFormatting sqref="N31">
    <cfRule type="expression" dxfId="0" priority="480">
      <formula>COUNTIF(Checklist!$A241, "TRUE") = 1</formula>
    </cfRule>
  </conditionalFormatting>
  <conditionalFormatting sqref="N35">
    <cfRule type="expression" dxfId="0" priority="576">
      <formula>COUNTIF(Checklist!$A277, "TRUE") = 1</formula>
    </cfRule>
  </conditionalFormatting>
  <conditionalFormatting sqref="N36">
    <cfRule type="expression" dxfId="0" priority="582">
      <formula>COUNTIF(Checklist!$A283, "TRUE") = 1</formula>
    </cfRule>
  </conditionalFormatting>
  <conditionalFormatting sqref="N37">
    <cfRule type="expression" dxfId="0" priority="588">
      <formula>COUNTIF(Checklist!$A289, "TRUE") = 1</formula>
    </cfRule>
  </conditionalFormatting>
  <conditionalFormatting sqref="N38">
    <cfRule type="expression" dxfId="0" priority="594">
      <formula>COUNTIF(Checklist!$A295, "TRUE") = 1</formula>
    </cfRule>
  </conditionalFormatting>
  <conditionalFormatting sqref="N39">
    <cfRule type="expression" dxfId="0" priority="600">
      <formula>COUNTIF(Checklist!$A301, "TRUE") = 1</formula>
    </cfRule>
  </conditionalFormatting>
  <conditionalFormatting sqref="N4">
    <cfRule type="expression" dxfId="0" priority="102">
      <formula>COUNTIF(Checklist!$A43, "TRUE") = 1</formula>
    </cfRule>
  </conditionalFormatting>
  <conditionalFormatting sqref="N43">
    <cfRule type="expression" dxfId="0" priority="696">
      <formula>COUNTIF(Checklist!$A337, "TRUE") = 1</formula>
    </cfRule>
  </conditionalFormatting>
  <conditionalFormatting sqref="N44">
    <cfRule type="expression" dxfId="0" priority="702">
      <formula>COUNTIF(Checklist!$A343, "TRUE") = 1</formula>
    </cfRule>
  </conditionalFormatting>
  <conditionalFormatting sqref="N45">
    <cfRule type="expression" dxfId="0" priority="708">
      <formula>COUNTIF(Checklist!$A349, "TRUE") = 1</formula>
    </cfRule>
  </conditionalFormatting>
  <conditionalFormatting sqref="N46">
    <cfRule type="expression" dxfId="0" priority="714">
      <formula>COUNTIF(Checklist!$A355, "TRUE") = 1</formula>
    </cfRule>
  </conditionalFormatting>
  <conditionalFormatting sqref="N47">
    <cfRule type="expression" dxfId="0" priority="720">
      <formula>COUNTIF(Checklist!$A361, "TRUE") = 1</formula>
    </cfRule>
  </conditionalFormatting>
  <conditionalFormatting sqref="N5">
    <cfRule type="expression" dxfId="0" priority="108">
      <formula>COUNTIF(Checklist!$A49, "TRUE") = 1</formula>
    </cfRule>
  </conditionalFormatting>
  <conditionalFormatting sqref="N51">
    <cfRule type="expression" dxfId="0" priority="816">
      <formula>COUNTIF(Checklist!$A397, "TRUE") = 1</formula>
    </cfRule>
  </conditionalFormatting>
  <conditionalFormatting sqref="N52">
    <cfRule type="expression" dxfId="0" priority="822">
      <formula>COUNTIF(Checklist!$A403, "TRUE") = 1</formula>
    </cfRule>
  </conditionalFormatting>
  <conditionalFormatting sqref="N53">
    <cfRule type="expression" dxfId="0" priority="828">
      <formula>COUNTIF(Checklist!$A409, "TRUE") = 1</formula>
    </cfRule>
  </conditionalFormatting>
  <conditionalFormatting sqref="N54">
    <cfRule type="expression" dxfId="0" priority="834">
      <formula>COUNTIF(Checklist!$A415, "TRUE") = 1</formula>
    </cfRule>
  </conditionalFormatting>
  <conditionalFormatting sqref="N55">
    <cfRule type="expression" dxfId="0" priority="840">
      <formula>COUNTIF(Checklist!$A421, "TRUE") = 1</formula>
    </cfRule>
  </conditionalFormatting>
  <conditionalFormatting sqref="N59">
    <cfRule type="expression" dxfId="0" priority="936">
      <formula>COUNTIF(Checklist!$A457, "TRUE") = 1</formula>
    </cfRule>
  </conditionalFormatting>
  <conditionalFormatting sqref="N6">
    <cfRule type="expression" dxfId="0" priority="114">
      <formula>COUNTIF(Checklist!$A55, "TRUE") = 1</formula>
    </cfRule>
  </conditionalFormatting>
  <conditionalFormatting sqref="N60">
    <cfRule type="expression" dxfId="0" priority="942">
      <formula>COUNTIF(Checklist!$A463, "TRUE") = 1</formula>
    </cfRule>
  </conditionalFormatting>
  <conditionalFormatting sqref="N61">
    <cfRule type="expression" dxfId="0" priority="948">
      <formula>COUNTIF(Checklist!$A469, "TRUE") = 1</formula>
    </cfRule>
  </conditionalFormatting>
  <conditionalFormatting sqref="N62">
    <cfRule type="expression" dxfId="0" priority="954">
      <formula>COUNTIF(Checklist!$None, "TRUE") = 1</formula>
    </cfRule>
  </conditionalFormatting>
  <conditionalFormatting sqref="N63">
    <cfRule type="expression" dxfId="0" priority="960">
      <formula>COUNTIF(Checklist!$A481, "TRUE") = 1</formula>
    </cfRule>
  </conditionalFormatting>
  <conditionalFormatting sqref="N67">
    <cfRule type="expression" dxfId="0" priority="1056">
      <formula>COUNTIF(Checklist!$A517, "TRUE") = 1</formula>
    </cfRule>
  </conditionalFormatting>
  <conditionalFormatting sqref="N68">
    <cfRule type="expression" dxfId="0" priority="1062">
      <formula>COUNTIF(Checklist!$A523, "TRUE") = 1</formula>
    </cfRule>
  </conditionalFormatting>
  <conditionalFormatting sqref="N69">
    <cfRule type="expression" dxfId="0" priority="1068">
      <formula>COUNTIF(Checklist!$A529, "TRUE") = 1</formula>
    </cfRule>
  </conditionalFormatting>
  <conditionalFormatting sqref="N7">
    <cfRule type="expression" dxfId="0" priority="120">
      <formula>COUNTIF(Checklist!$A61, "TRUE") = 1</formula>
    </cfRule>
  </conditionalFormatting>
  <conditionalFormatting sqref="N70">
    <cfRule type="expression" dxfId="0" priority="1074">
      <formula>COUNTIF(Checklist!$A535, "TRUE") = 1</formula>
    </cfRule>
  </conditionalFormatting>
  <conditionalFormatting sqref="N71">
    <cfRule type="expression" dxfId="0" priority="1080">
      <formula>COUNTIF(Checklist!$A541, "TRUE") = 1</formula>
    </cfRule>
  </conditionalFormatting>
  <conditionalFormatting sqref="N75">
    <cfRule type="expression" dxfId="0" priority="1176">
      <formula>COUNTIF(Checklist!$A577, "TRUE") = 1</formula>
    </cfRule>
  </conditionalFormatting>
  <conditionalFormatting sqref="N76">
    <cfRule type="expression" dxfId="0" priority="1182">
      <formula>COUNTIF(Checklist!$A583, "TRUE") = 1</formula>
    </cfRule>
  </conditionalFormatting>
  <conditionalFormatting sqref="N77">
    <cfRule type="expression" dxfId="0" priority="1188">
      <formula>COUNTIF(Checklist!$A589, "TRUE") = 1</formula>
    </cfRule>
  </conditionalFormatting>
  <conditionalFormatting sqref="N78">
    <cfRule type="expression" dxfId="0" priority="1194">
      <formula>COUNTIF(Checklist!$A595, "TRUE") = 1</formula>
    </cfRule>
  </conditionalFormatting>
  <conditionalFormatting sqref="N79">
    <cfRule type="expression" dxfId="0" priority="1200">
      <formula>COUNTIF(Checklist!$A601, "TRUE") = 1</formula>
    </cfRule>
  </conditionalFormatting>
  <conditionalFormatting sqref="N83">
    <cfRule type="expression" dxfId="0" priority="1296">
      <formula>COUNTIF(Checklist!$A637, "TRUE") = 1</formula>
    </cfRule>
  </conditionalFormatting>
  <conditionalFormatting sqref="N84">
    <cfRule type="expression" dxfId="0" priority="1302">
      <formula>COUNTIF(Checklist!$None, "TRUE") = 1</formula>
    </cfRule>
  </conditionalFormatting>
  <conditionalFormatting sqref="N85">
    <cfRule type="expression" dxfId="0" priority="1308">
      <formula>COUNTIF(Checklist!$None, "TRUE") = 1</formula>
    </cfRule>
  </conditionalFormatting>
  <conditionalFormatting sqref="N86">
    <cfRule type="expression" dxfId="0" priority="1314">
      <formula>COUNTIF(Checklist!$A655, "TRUE") = 1</formula>
    </cfRule>
  </conditionalFormatting>
  <conditionalFormatting sqref="N87">
    <cfRule type="expression" dxfId="0" priority="1320">
      <formula>COUNTIF(Checklist!$A661, "TRUE") = 1</formula>
    </cfRule>
  </conditionalFormatting>
  <conditionalFormatting sqref="N91">
    <cfRule type="expression" dxfId="0" priority="1416">
      <formula>COUNTIF(Checklist!$A697, "TRUE") = 1</formula>
    </cfRule>
  </conditionalFormatting>
  <conditionalFormatting sqref="N92">
    <cfRule type="expression" dxfId="0" priority="1422">
      <formula>COUNTIF(Checklist!$A703, "TRUE") = 1</formula>
    </cfRule>
  </conditionalFormatting>
  <conditionalFormatting sqref="N93">
    <cfRule type="expression" dxfId="0" priority="1428">
      <formula>COUNTIF(Checklist!$A709, "TRUE") = 1</formula>
    </cfRule>
  </conditionalFormatting>
  <conditionalFormatting sqref="N94">
    <cfRule type="expression" dxfId="0" priority="1434">
      <formula>COUNTIF(Checklist!$A715, "TRUE") = 1</formula>
    </cfRule>
  </conditionalFormatting>
  <conditionalFormatting sqref="N95">
    <cfRule type="expression" dxfId="0" priority="1440">
      <formula>COUNTIF(Checklist!$A721, "TRUE") = 1</formula>
    </cfRule>
  </conditionalFormatting>
  <conditionalFormatting sqref="N99">
    <cfRule type="expression" dxfId="0" priority="1536">
      <formula>COUNTIF(Checklist!$A757, "TRUE")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2023-03-13T08:04:23Z</dcterms:created>
  <dcterms:modified xsi:type="dcterms:W3CDTF">2023-03-13T08:04:23Z</dcterms:modified>
</cp:coreProperties>
</file>