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ex" sheetId="1" r:id="rId1"/>
  </sheets>
  <calcPr calcId="124519" fullCalcOnLoad="1"/>
</workbook>
</file>

<file path=xl/sharedStrings.xml><?xml version="1.0" encoding="utf-8"?>
<sst xmlns="http://schemas.openxmlformats.org/spreadsheetml/2006/main" count="3361" uniqueCount="1432">
  <si>
    <t>#</t>
  </si>
  <si>
    <t>Pokémon</t>
  </si>
  <si>
    <t>Top Pick</t>
  </si>
  <si>
    <t>Second Pick</t>
  </si>
  <si>
    <t>Third Pick</t>
  </si>
  <si>
    <t>Fourth Pick</t>
  </si>
  <si>
    <t>Owned</t>
  </si>
  <si>
    <t>Bulbasaur</t>
  </si>
  <si>
    <t xml:space="preserve">
#</t>
  </si>
  <si>
    <t>FALSE</t>
  </si>
  <si>
    <t>Ivysaur</t>
  </si>
  <si>
    <t>Venusaur</t>
  </si>
  <si>
    <t>Charmander</t>
  </si>
  <si>
    <t>151
#168</t>
  </si>
  <si>
    <t>Scarlet &amp; Violet Promos
#044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</si>
  <si>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</si>
  <si>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</si>
  <si>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</si>
  <si>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</si>
  <si>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</si>
  <si>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</si>
  <si>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</si>
  <si>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</si>
  <si>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</si>
  <si>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</si>
  <si>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</si>
  <si>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</si>
  <si>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</si>
  <si>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</si>
  <si>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</si>
  <si>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Pokémon GO
#041</t>
  </si>
  <si>
    <t>Evolutions
#66</t>
  </si>
  <si>
    <t>151
#019</t>
  </si>
  <si>
    <t>Team Rocket Returns
#72</t>
  </si>
  <si>
    <t>Raticate</t>
  </si>
  <si>
    <t>Spearow</t>
  </si>
  <si>
    <t>Fearow</t>
  </si>
  <si>
    <t>Ekans</t>
  </si>
  <si>
    <t>151
#023</t>
  </si>
  <si>
    <t>Hidden Fates
#25</t>
  </si>
  <si>
    <t>Expedition
#108</t>
  </si>
  <si>
    <t>Temporal Forces
#100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</si>
  <si>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</si>
  <si>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</si>
  <si>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</si>
  <si>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</si>
  <si>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</si>
  <si>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</si>
  <si>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</si>
  <si>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</si>
  <si>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</si>
  <si>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</si>
  <si>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</si>
  <si>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</si>
  <si>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</si>
  <si>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</si>
  <si>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</si>
  <si>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</si>
  <si>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</si>
  <si>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</si>
  <si>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</si>
  <si>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</si>
  <si>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</si>
  <si>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</si>
  <si>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</si>
  <si>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</si>
  <si>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</si>
  <si>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</si>
  <si>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</si>
  <si>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</si>
  <si>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</si>
  <si>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</si>
  <si>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</si>
  <si>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</si>
  <si>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</si>
  <si>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</si>
  <si>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</si>
  <si>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</si>
  <si>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Lost Origin
#TG08</t>
  </si>
  <si>
    <t>Sword &amp; Shield Promos
#SWSH304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</si>
  <si>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</si>
  <si>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</si>
  <si>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</si>
  <si>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</si>
  <si>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</si>
  <si>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</si>
  <si>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</si>
  <si>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</si>
  <si>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</si>
  <si>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</si>
  <si>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Celestial Storm
#1</t>
  </si>
  <si>
    <t>Aquapolis
#45</t>
  </si>
  <si>
    <t>Jungle
#49</t>
  </si>
  <si>
    <t>Guardians Rising
#1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</si>
  <si>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</si>
  <si>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</si>
  <si>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</si>
  <si>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</si>
  <si>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</si>
  <si>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</si>
  <si>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</si>
  <si>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</si>
  <si>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</si>
  <si>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Sword &amp; Shield Promos
#SWSH270</t>
  </si>
  <si>
    <t>151
#78</t>
  </si>
  <si>
    <t>Chilling Reign
#168</t>
  </si>
  <si>
    <t>PTCGC - Charizard / Astral Radiance
#5 / 22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</si>
  <si>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</si>
  <si>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</si>
  <si>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</si>
  <si>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</si>
  <si>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</si>
  <si>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</si>
  <si>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</si>
  <si>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</si>
  <si>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</si>
  <si>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</si>
  <si>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</si>
  <si>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</si>
  <si>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</si>
  <si>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</si>
  <si>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</si>
  <si>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</si>
  <si>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</si>
  <si>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</si>
  <si>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</si>
  <si>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</si>
  <si>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</si>
  <si>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</si>
  <si>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Crown Zenith
#GG01</t>
  </si>
  <si>
    <t>151
#100</t>
  </si>
  <si>
    <t>Fusion Strike
#087</t>
  </si>
  <si>
    <t>Paldean Fates
#133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</si>
  <si>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</si>
  <si>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</si>
  <si>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</si>
  <si>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</si>
  <si>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</si>
  <si>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</si>
  <si>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</si>
  <si>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</si>
  <si>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Temporal Forces
#180</t>
  </si>
  <si>
    <t>FireRed &amp; LeafGreen
#37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</si>
  <si>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</si>
  <si>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</si>
  <si>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</si>
  <si>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</si>
  <si>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</si>
  <si>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</si>
  <si>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</si>
  <si>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</si>
  <si>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</si>
  <si>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</si>
  <si>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</si>
  <si>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</si>
  <si>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</si>
  <si>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Astral Radiance
#TG13</t>
  </si>
  <si>
    <t>151
#121</t>
  </si>
  <si>
    <t>Rumble
#5</t>
  </si>
  <si>
    <t>Paldean Fates
#119</t>
  </si>
  <si>
    <t>Mr-Mime</t>
  </si>
  <si>
    <t>Scyther</t>
  </si>
  <si>
    <t>Jynx</t>
  </si>
  <si>
    <t>Electabuzz</t>
  </si>
  <si>
    <t>Magmar</t>
  </si>
  <si>
    <t>Pinsir</t>
  </si>
  <si>
    <t>Twilight Masquerade
#168</t>
  </si>
  <si>
    <t>Tauros</t>
  </si>
  <si>
    <t>Magikarp</t>
  </si>
  <si>
    <t>Gyarados</t>
  </si>
  <si>
    <t>BREAKpoint
#123</t>
  </si>
  <si>
    <t>Ancient Origins
#21</t>
  </si>
  <si>
    <t>Stormfront
#19</t>
  </si>
  <si>
    <t>Team Rocket
#8</t>
  </si>
  <si>
    <t>Lapras</t>
  </si>
  <si>
    <t>Ditto</t>
  </si>
  <si>
    <t>Eevee</t>
  </si>
  <si>
    <t>Vaporeon</t>
  </si>
  <si>
    <t>Sword &amp; Shield Promos
#SWSH182</t>
  </si>
  <si>
    <t>Legendary Collection
#9</t>
  </si>
  <si>
    <t>Jungle
#28</t>
  </si>
  <si>
    <t>Sword &amp; Shield Promos
#SWSH150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</si>
  <si>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</si>
  <si>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</si>
  <si>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</si>
  <si>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</si>
  <si>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</si>
  <si>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</si>
  <si>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</si>
  <si>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</si>
  <si>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</si>
  <si>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Scarlet &amp; Violet Promos
#051</t>
  </si>
  <si>
    <t>Sun &amp; Moon Promos
#SM169</t>
  </si>
  <si>
    <t>Call of Legends
#33</t>
  </si>
  <si>
    <t>Articuno</t>
  </si>
  <si>
    <t>Zapdos</t>
  </si>
  <si>
    <t>151
#202</t>
  </si>
  <si>
    <t>Sword &amp; Shield Promos
#SWSH283</t>
  </si>
  <si>
    <t>Chilling Reign
#174</t>
  </si>
  <si>
    <t>Supreme Victors
#150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</si>
  <si>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</si>
  <si>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</si>
  <si>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</si>
  <si>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</si>
  <si>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</si>
  <si>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</si>
  <si>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</si>
  <si>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</si>
  <si>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</si>
  <si>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</si>
  <si>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</si>
  <si>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</si>
  <si>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Astral Radiance
#053</t>
  </si>
  <si>
    <t>Lost Thunder
#42</t>
  </si>
  <si>
    <t>Sandstorm
#99</t>
  </si>
  <si>
    <t>Expedition
#64</t>
  </si>
  <si>
    <t>Totodile</t>
  </si>
  <si>
    <t>Croconaw</t>
  </si>
  <si>
    <t>Feraligatr</t>
  </si>
  <si>
    <t>Sentret</t>
  </si>
  <si>
    <t>Furret</t>
  </si>
  <si>
    <t>Neo Genesis
#35</t>
  </si>
  <si>
    <t>HeartGold &amp; SoulSilver
#21</t>
  </si>
  <si>
    <t>Secret Wonders
#27</t>
  </si>
  <si>
    <t>Legend Maker
#33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</si>
  <si>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</si>
  <si>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</si>
  <si>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</si>
  <si>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</si>
  <si>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</si>
  <si>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</si>
  <si>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</si>
  <si>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</si>
  <si>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</si>
  <si>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</si>
  <si>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</si>
  <si>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</si>
  <si>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Cosmic Eclipse
#143a</t>
  </si>
  <si>
    <t>Cosmic Eclipse
#143</t>
  </si>
  <si>
    <t>Cosmic Eclipse
#168</t>
  </si>
  <si>
    <t>Neo Discovery
#40</t>
  </si>
  <si>
    <t>Togepi</t>
  </si>
  <si>
    <t>Togetic</t>
  </si>
  <si>
    <t>Natu</t>
  </si>
  <si>
    <t>Xatu</t>
  </si>
  <si>
    <t>Mareep</t>
  </si>
  <si>
    <t>Flaaffy</t>
  </si>
  <si>
    <t>Silver Tempest
#TG03</t>
  </si>
  <si>
    <t>Scarlet &amp; Violet
#067</t>
  </si>
  <si>
    <t>Scarlet &amp; Violet Promos
#108</t>
  </si>
  <si>
    <t>Evolving Skies
#055</t>
  </si>
  <si>
    <t>Ampharos</t>
  </si>
  <si>
    <t>Bellossom</t>
  </si>
  <si>
    <t>Marill</t>
  </si>
  <si>
    <t>Paldea Evolved
#204</t>
  </si>
  <si>
    <t>Fusion Strike
#058</t>
  </si>
  <si>
    <t>Team Rocket Returns
#68</t>
  </si>
  <si>
    <t>Paldea Evolved
#044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</si>
  <si>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</si>
  <si>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</si>
  <si>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</si>
  <si>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</si>
  <si>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</si>
  <si>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</si>
  <si>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</si>
  <si>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</si>
  <si>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</si>
  <si>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Twilight Masquerade
#169</t>
  </si>
  <si>
    <t>Yanma</t>
  </si>
  <si>
    <t>Wooper</t>
  </si>
  <si>
    <t>Paldea Evolved
#221</t>
  </si>
  <si>
    <t>Scarlet &amp; Violet Promos
#041</t>
  </si>
  <si>
    <t>Vivid Voltage
#083</t>
  </si>
  <si>
    <t>Unbroken Bonds
#96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</si>
  <si>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</si>
  <si>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</si>
  <si>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</si>
  <si>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</si>
  <si>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</si>
  <si>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</si>
  <si>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</si>
  <si>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</si>
  <si>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</si>
  <si>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</si>
  <si>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</si>
  <si>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</si>
  <si>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Crown Zenith
#GG23</t>
  </si>
  <si>
    <t>Gligar</t>
  </si>
  <si>
    <t>Steelix</t>
  </si>
  <si>
    <t>Snubbull</t>
  </si>
  <si>
    <t>Granbull</t>
  </si>
  <si>
    <t>Qwilfish</t>
  </si>
  <si>
    <t>Scizor</t>
  </si>
  <si>
    <t>Shuckle</t>
  </si>
  <si>
    <t>Obsidian Flames
#005</t>
  </si>
  <si>
    <t>Lost Thunder
#17</t>
  </si>
  <si>
    <t>Rebel Clash
#005</t>
  </si>
  <si>
    <t>Lost Thunder
#16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</si>
  <si>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</si>
  <si>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</si>
  <si>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</si>
  <si>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</si>
  <si>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</si>
  <si>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</si>
  <si>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</si>
  <si>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</si>
  <si>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</si>
  <si>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</si>
  <si>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</si>
  <si>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Brilliant Stars
#TG03</t>
  </si>
  <si>
    <t>Sword &amp; Shield Promos
#SWSH089</t>
  </si>
  <si>
    <t>Paradox Rift
#034</t>
  </si>
  <si>
    <t>Team Rocket Returns
#8</t>
  </si>
  <si>
    <t>Delibird</t>
  </si>
  <si>
    <t>Mantine</t>
  </si>
  <si>
    <t>Skarmory</t>
  </si>
  <si>
    <t>Houndour</t>
  </si>
  <si>
    <t>Obsidian Flames
#204</t>
  </si>
  <si>
    <t>Team Rocket Returns
#60</t>
  </si>
  <si>
    <t>Neo Discovery
#24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</si>
  <si>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</si>
  <si>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</si>
  <si>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</si>
  <si>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</si>
  <si>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</si>
  <si>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</si>
  <si>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</si>
  <si>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</si>
  <si>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</si>
  <si>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Lost Thunder
#113</t>
  </si>
  <si>
    <t>Vivid Voltage
#088</t>
  </si>
  <si>
    <t>Unbroken Bonds
#101</t>
  </si>
  <si>
    <t>Aquapolis
#82</t>
  </si>
  <si>
    <t>Smoochum</t>
  </si>
  <si>
    <t>Elekid</t>
  </si>
  <si>
    <t>Magby</t>
  </si>
  <si>
    <t>Paradox Rift
#186</t>
  </si>
  <si>
    <t>Mysterious Treasures
#88</t>
  </si>
  <si>
    <t>Paradox Rift
#019</t>
  </si>
  <si>
    <t>Team Rocket Returns
#24</t>
  </si>
  <si>
    <t>Miltank</t>
  </si>
  <si>
    <t>Paradox Rift
#147</t>
  </si>
  <si>
    <t>Crown Zenith
#GG24</t>
  </si>
  <si>
    <t>Crimson Invasion
#78</t>
  </si>
  <si>
    <t>Plasma Freeze
#93</t>
  </si>
  <si>
    <t>Blissey</t>
  </si>
  <si>
    <t>Raikou</t>
  </si>
  <si>
    <t>Entei</t>
  </si>
  <si>
    <t>Suicune</t>
  </si>
  <si>
    <t>Larvitar</t>
  </si>
  <si>
    <t>Obsidian Flames
#203</t>
  </si>
  <si>
    <t>Paldea Evolved
#110</t>
  </si>
  <si>
    <t>Obsidian Flames
#105</t>
  </si>
  <si>
    <t>Expedition
#116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</si>
  <si>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</si>
  <si>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</si>
  <si>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</si>
  <si>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</si>
  <si>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</si>
  <si>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</si>
  <si>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</si>
  <si>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</si>
  <si>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</si>
  <si>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</si>
  <si>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</si>
  <si>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</si>
  <si>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</si>
  <si>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</si>
  <si>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</si>
  <si>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Double Crisis
#17</t>
  </si>
  <si>
    <t>Astral Radiance
#095</t>
  </si>
  <si>
    <t>Vivid Voltage
#103</t>
  </si>
  <si>
    <t>Deoxys
#70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</si>
  <si>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</si>
  <si>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</si>
  <si>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</si>
  <si>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</si>
  <si>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</si>
  <si>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</si>
  <si>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</si>
  <si>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</si>
  <si>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</si>
  <si>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</si>
  <si>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</si>
  <si>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</si>
  <si>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</si>
  <si>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</si>
  <si>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</si>
  <si>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</si>
  <si>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</si>
  <si>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</si>
  <si>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</si>
  <si>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</si>
  <si>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Scarlet &amp; Violet
#212</t>
  </si>
  <si>
    <t>Astral Radiance
#061</t>
  </si>
  <si>
    <t>Paldean Fates
#154</t>
  </si>
  <si>
    <t>Silver Tempest
#068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</si>
  <si>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</si>
  <si>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</si>
  <si>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</si>
  <si>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</si>
  <si>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</si>
  <si>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</si>
  <si>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</si>
  <si>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</si>
  <si>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</si>
  <si>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</si>
  <si>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</si>
  <si>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</si>
  <si>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</si>
  <si>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Paradox Rift
#212</t>
  </si>
  <si>
    <t>Exploud</t>
  </si>
  <si>
    <t>Makuhita</t>
  </si>
  <si>
    <t>Hariyama</t>
  </si>
  <si>
    <t>Azurill</t>
  </si>
  <si>
    <t>Cosmic Eclipse
#146</t>
  </si>
  <si>
    <t>Delta Species
#20</t>
  </si>
  <si>
    <t>Sandstorm
#31</t>
  </si>
  <si>
    <t>Diamond &amp; Pearl
#69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</si>
  <si>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</si>
  <si>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</si>
  <si>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</si>
  <si>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</si>
  <si>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</si>
  <si>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</si>
  <si>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</si>
  <si>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</si>
  <si>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</si>
  <si>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Lost Origin
#099</t>
  </si>
  <si>
    <t>Temporal Forces
#082</t>
  </si>
  <si>
    <t>Rebel Clash
#097</t>
  </si>
  <si>
    <t>Crystal Guardians
#56</t>
  </si>
  <si>
    <t>Medicham</t>
  </si>
  <si>
    <t>Electrike</t>
  </si>
  <si>
    <t>Manectric</t>
  </si>
  <si>
    <t>Plusle</t>
  </si>
  <si>
    <t>Minun</t>
  </si>
  <si>
    <t>Paradox Rift
#194</t>
  </si>
  <si>
    <t>Fusion Strike
#090</t>
  </si>
  <si>
    <t>Paradox Rift
#061</t>
  </si>
  <si>
    <t>Celestial Storm
#54</t>
  </si>
  <si>
    <t>Volbeat</t>
  </si>
  <si>
    <t>Illumise</t>
  </si>
  <si>
    <t>Roselia</t>
  </si>
  <si>
    <t>Gulpin</t>
  </si>
  <si>
    <t>Generations
#RC12</t>
  </si>
  <si>
    <t>Phantom Forces
#37</t>
  </si>
  <si>
    <t>Arceus
#66</t>
  </si>
  <si>
    <t>Emerald
#51</t>
  </si>
  <si>
    <t>Swalot</t>
  </si>
  <si>
    <t>Carvanha</t>
  </si>
  <si>
    <t>Sharpedo</t>
  </si>
  <si>
    <t>Wailmer</t>
  </si>
  <si>
    <t>Wailord</t>
  </si>
  <si>
    <t>Numel</t>
  </si>
  <si>
    <t>Camerupt</t>
  </si>
  <si>
    <t>Obsidian Flames
#032</t>
  </si>
  <si>
    <t>Paldean Fates
#012</t>
  </si>
  <si>
    <t>Double Crisis
#2</t>
  </si>
  <si>
    <t>Deoxys
#4</t>
  </si>
  <si>
    <t>Torkoal</t>
  </si>
  <si>
    <t>Cosmic Eclipse
#237</t>
  </si>
  <si>
    <t>Twilight Masquerade
#172</t>
  </si>
  <si>
    <t>Spoink</t>
  </si>
  <si>
    <t>Grumpig</t>
  </si>
  <si>
    <t>Spinda</t>
  </si>
  <si>
    <t>Trapinch</t>
  </si>
  <si>
    <t>Vibrava</t>
  </si>
  <si>
    <t>Flygon</t>
  </si>
  <si>
    <t>Brilliant Stars
#106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</si>
  <si>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</si>
  <si>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</si>
  <si>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</si>
  <si>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</si>
  <si>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</si>
  <si>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</si>
  <si>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</si>
  <si>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</si>
  <si>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</si>
  <si>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</si>
  <si>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</si>
  <si>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</si>
  <si>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</si>
  <si>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</si>
  <si>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</si>
  <si>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</si>
  <si>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</si>
  <si>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Cosmic Eclipse
#111</t>
  </si>
  <si>
    <t>Steam Siege
#56</t>
  </si>
  <si>
    <t>Power Keepers
#26</t>
  </si>
  <si>
    <t>Silver Tempest
#095</t>
  </si>
  <si>
    <t>Armaldo</t>
  </si>
  <si>
    <t>Feebas</t>
  </si>
  <si>
    <t>Milotic</t>
  </si>
  <si>
    <t>Castform</t>
  </si>
  <si>
    <t>Lost Origin
#TG11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</si>
  <si>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</si>
  <si>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</si>
  <si>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</si>
  <si>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</si>
  <si>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</si>
  <si>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</si>
  <si>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</si>
  <si>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</si>
  <si>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Crown Zenith
#GG16</t>
  </si>
  <si>
    <t>Team Up
#88</t>
  </si>
  <si>
    <t>Astral Radiance
#97</t>
  </si>
  <si>
    <t>Obsidian Flames
#214</t>
  </si>
  <si>
    <t>Wynaut</t>
  </si>
  <si>
    <t>Snorunt</t>
  </si>
  <si>
    <t>Glalie</t>
  </si>
  <si>
    <t>Spheal</t>
  </si>
  <si>
    <t>Sealeo</t>
  </si>
  <si>
    <t>Walrein</t>
  </si>
  <si>
    <t>Flashfire
#26</t>
  </si>
  <si>
    <t>Double Crisis
#5</t>
  </si>
  <si>
    <t>Primal Clash
#48</t>
  </si>
  <si>
    <t>Mysterious Treasures
#39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</si>
  <si>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</si>
  <si>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</si>
  <si>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</si>
  <si>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</si>
  <si>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</si>
  <si>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</si>
  <si>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</si>
  <si>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</si>
  <si>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</si>
  <si>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</si>
  <si>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</si>
  <si>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</si>
  <si>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</si>
  <si>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</si>
  <si>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</si>
  <si>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</si>
  <si>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</si>
  <si>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</si>
  <si>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</si>
  <si>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</si>
  <si>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</si>
  <si>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Crown Zenith
#GG12</t>
  </si>
  <si>
    <t>Crown Zenith
#GG45</t>
  </si>
  <si>
    <t>Crown Zenith
#GG46</t>
  </si>
  <si>
    <t>Plasma Freeze
#111</t>
  </si>
  <si>
    <t>Turtwig</t>
  </si>
  <si>
    <t>Crown Zenith
#GG31</t>
  </si>
  <si>
    <t>Grotle</t>
  </si>
  <si>
    <t>Torterra</t>
  </si>
  <si>
    <t>Chimchar</t>
  </si>
  <si>
    <t>Monferno</t>
  </si>
  <si>
    <t>Twilight Masquerade
#032</t>
  </si>
  <si>
    <t>Ultra Prism
#22</t>
  </si>
  <si>
    <t>Platinum
#56</t>
  </si>
  <si>
    <t>Majestic Dawn
#41</t>
  </si>
  <si>
    <t>Infernape</t>
  </si>
  <si>
    <t>Piplup</t>
  </si>
  <si>
    <t>Prinplup</t>
  </si>
  <si>
    <t>Empoleon</t>
  </si>
  <si>
    <t>Starly</t>
  </si>
  <si>
    <t>Staravia</t>
  </si>
  <si>
    <t>Staraptor</t>
  </si>
  <si>
    <t>Darkness Ablaze
#147</t>
  </si>
  <si>
    <t>Plazma Freeze
#97</t>
  </si>
  <si>
    <t>Supreme Victors
#147</t>
  </si>
  <si>
    <t>Scarlet &amp; Violet
#150</t>
  </si>
  <si>
    <t>Bidoof</t>
  </si>
  <si>
    <t>Bibarel</t>
  </si>
  <si>
    <t>Kricketot</t>
  </si>
  <si>
    <t>Kricketune</t>
  </si>
  <si>
    <t>Battle Styles
#142</t>
  </si>
  <si>
    <t>Silver Tempest
#TG12</t>
  </si>
  <si>
    <t>Crown Zenith
#GG02</t>
  </si>
  <si>
    <t>Triumphant
#24</t>
  </si>
  <si>
    <t>Shinx</t>
  </si>
  <si>
    <t>Luxio</t>
  </si>
  <si>
    <t>Luxray</t>
  </si>
  <si>
    <t>Budew</t>
  </si>
  <si>
    <t>Roserade</t>
  </si>
  <si>
    <t>Lost Origin
#TG02</t>
  </si>
  <si>
    <t>Cranidos</t>
  </si>
  <si>
    <t>Rampardos</t>
  </si>
  <si>
    <t>Shieldon</t>
  </si>
  <si>
    <t>Bastiodon</t>
  </si>
  <si>
    <t>Burmy</t>
  </si>
  <si>
    <t>Brilliant Stars
#009</t>
  </si>
  <si>
    <t>Arceus
#57</t>
  </si>
  <si>
    <t>Arceus
#56</t>
  </si>
  <si>
    <t>Fates Collide
#2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</si>
  <si>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</si>
  <si>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</si>
  <si>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</si>
  <si>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</si>
  <si>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</si>
  <si>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</si>
  <si>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</si>
  <si>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</si>
  <si>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</si>
  <si>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</si>
  <si>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</si>
  <si>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</si>
  <si>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</si>
  <si>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</si>
  <si>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</si>
  <si>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</si>
  <si>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</si>
  <si>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Paldea Evolved
#212</t>
  </si>
  <si>
    <t>Paldea Evolved
#088</t>
  </si>
  <si>
    <t>Legendary Treasures
#58</t>
  </si>
  <si>
    <t>Astral Radiance
#059</t>
  </si>
  <si>
    <t>Honchkrow</t>
  </si>
  <si>
    <t>Glameow</t>
  </si>
  <si>
    <t>Purugly</t>
  </si>
  <si>
    <t>Chingling</t>
  </si>
  <si>
    <t>Stunky</t>
  </si>
  <si>
    <t>Skuntank</t>
  </si>
  <si>
    <t>Rebel Clash
#115</t>
  </si>
  <si>
    <t>Rumble
#13</t>
  </si>
  <si>
    <t>Silver Tempest
#181</t>
  </si>
  <si>
    <t>Dragons Exalted
#77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</si>
  <si>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</si>
  <si>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</si>
  <si>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</si>
  <si>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</si>
  <si>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</si>
  <si>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</si>
  <si>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</si>
  <si>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</si>
  <si>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</si>
  <si>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Legendary Treasures
#95</t>
  </si>
  <si>
    <t>Paradox Rift
#095</t>
  </si>
  <si>
    <t>Dragons Exalted
#88</t>
  </si>
  <si>
    <t>Unified Minds
#113</t>
  </si>
  <si>
    <t>Garchomp</t>
  </si>
  <si>
    <t>Astral Radiance
#TG23</t>
  </si>
  <si>
    <t>Paradox Rift
#245</t>
  </si>
  <si>
    <t>Forbidden Light
#62</t>
  </si>
  <si>
    <t>Brilliant Stars
#109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</si>
  <si>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</si>
  <si>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</si>
  <si>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</si>
  <si>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</si>
  <si>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</si>
  <si>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</si>
  <si>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</si>
  <si>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</si>
  <si>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</si>
  <si>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</si>
  <si>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</si>
  <si>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</si>
  <si>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</si>
  <si>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</si>
  <si>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Lost Origin
#042</t>
  </si>
  <si>
    <t>Paldea Evolved
#010</t>
  </si>
  <si>
    <t>BREAKthrough
#39</t>
  </si>
  <si>
    <t>Chilling Reign
#009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</si>
  <si>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</si>
  <si>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</si>
  <si>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</si>
  <si>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</si>
  <si>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</si>
  <si>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</si>
  <si>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</si>
  <si>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</si>
  <si>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</si>
  <si>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</si>
  <si>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</si>
  <si>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</si>
  <si>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</si>
  <si>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</si>
  <si>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</si>
  <si>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</si>
  <si>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Lost Origin
#TG19</t>
  </si>
  <si>
    <t>Sword &amp; Shield Promos
#SWSH258</t>
  </si>
  <si>
    <t>Chilling Reign
#081</t>
  </si>
  <si>
    <t>Cosmic Eclipse
#244</t>
  </si>
  <si>
    <t>Probopass</t>
  </si>
  <si>
    <t>Twilight Masquerade
#182</t>
  </si>
  <si>
    <t>Dusknoir</t>
  </si>
  <si>
    <t>Froslass</t>
  </si>
  <si>
    <t>Twilight Masquerade
#174</t>
  </si>
  <si>
    <t>Scarlet &amp; Violet Promos
#117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</si>
  <si>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</si>
  <si>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</si>
  <si>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</si>
  <si>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</si>
  <si>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</si>
  <si>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</si>
  <si>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</si>
  <si>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</si>
  <si>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</si>
  <si>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</si>
  <si>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</si>
  <si>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Twilight Masquerade
#175</t>
  </si>
  <si>
    <t>Sun &amp; Moon Promos
#SM220</t>
  </si>
  <si>
    <t>Silver Tempest
#45</t>
  </si>
  <si>
    <t>Twilight Masquerade
#55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</si>
  <si>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</si>
  <si>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</si>
  <si>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</si>
  <si>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</si>
  <si>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</si>
  <si>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</si>
  <si>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</si>
  <si>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</si>
  <si>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</si>
  <si>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</si>
  <si>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Black &amp; White
#18</t>
  </si>
  <si>
    <t>Legendary Treasures
#26</t>
  </si>
  <si>
    <t>Battle Styles
#024</t>
  </si>
  <si>
    <t>Cosmic Eclipse
#32</t>
  </si>
  <si>
    <t>Emboar</t>
  </si>
  <si>
    <t>Oshawott</t>
  </si>
  <si>
    <t>Dewott</t>
  </si>
  <si>
    <t>Astral Radiance
#042</t>
  </si>
  <si>
    <t>Legendary Treasures
#38</t>
  </si>
  <si>
    <t>Boundaries Crossed
#40</t>
  </si>
  <si>
    <t>Black &amp; White
#30</t>
  </si>
  <si>
    <t>Samurott</t>
  </si>
  <si>
    <t>Patrat</t>
  </si>
  <si>
    <t>Black &amp; White Trainer Kit—Zoroark
#29</t>
  </si>
  <si>
    <t>Boundaries Crossed
#118</t>
  </si>
  <si>
    <t>Plasma Storm
#111</t>
  </si>
  <si>
    <t>Furious Fists
#84</t>
  </si>
  <si>
    <t>Watchog</t>
  </si>
  <si>
    <t>Lillipup</t>
  </si>
  <si>
    <t>Herdier</t>
  </si>
  <si>
    <t>Stoutland</t>
  </si>
  <si>
    <t>Battle Styles
#117</t>
  </si>
  <si>
    <t>Cosmic Eclipse
#248</t>
  </si>
  <si>
    <t>Crown Zenith
#116</t>
  </si>
  <si>
    <t>Black &amp; White
#83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</si>
  <si>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</si>
  <si>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</si>
  <si>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</si>
  <si>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</si>
  <si>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</si>
  <si>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</si>
  <si>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</si>
  <si>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</si>
  <si>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</si>
  <si>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</si>
  <si>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</si>
  <si>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</si>
  <si>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</si>
  <si>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</si>
  <si>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</si>
  <si>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</si>
  <si>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</si>
  <si>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</si>
  <si>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</si>
  <si>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</si>
  <si>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</si>
  <si>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</si>
  <si>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</si>
  <si>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</si>
  <si>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</si>
  <si>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</si>
  <si>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</si>
  <si>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</si>
  <si>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</si>
  <si>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</si>
  <si>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</si>
  <si>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</si>
  <si>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</si>
  <si>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Legendary Treasures
#11</t>
  </si>
  <si>
    <t>Phantom Forces
#6</t>
  </si>
  <si>
    <t>Unified Minds
#8</t>
  </si>
  <si>
    <t>Fusion Strike
#010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</si>
  <si>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</si>
  <si>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</si>
  <si>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</si>
  <si>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</si>
  <si>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</si>
  <si>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</si>
  <si>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</si>
  <si>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</si>
  <si>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</si>
  <si>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</si>
  <si>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</si>
  <si>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</si>
  <si>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</si>
  <si>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</si>
  <si>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</si>
  <si>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</si>
  <si>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</si>
  <si>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</si>
  <si>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</si>
  <si>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</si>
  <si>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</si>
  <si>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</si>
  <si>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Paradox Rift
#224</t>
  </si>
  <si>
    <t>Plasma Freeze
#57</t>
  </si>
  <si>
    <t>Noble Victories
#47</t>
  </si>
  <si>
    <t>Plasma Freeze
#56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</si>
  <si>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</si>
  <si>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</si>
  <si>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</si>
  <si>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</si>
  <si>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</si>
  <si>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</si>
  <si>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</si>
  <si>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</si>
  <si>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</si>
  <si>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</si>
  <si>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</si>
  <si>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</si>
  <si>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</si>
  <si>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</si>
  <si>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</si>
  <si>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</si>
  <si>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</si>
  <si>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</si>
  <si>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</si>
  <si>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</si>
  <si>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</si>
  <si>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</si>
  <si>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</si>
  <si>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</si>
  <si>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</si>
  <si>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</si>
  <si>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</si>
  <si>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</si>
  <si>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</si>
  <si>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</si>
  <si>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</si>
  <si>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</si>
  <si>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Paradox Rift
#196</t>
  </si>
  <si>
    <t>Galvantula</t>
  </si>
  <si>
    <t>Ferroseed</t>
  </si>
  <si>
    <t>Ferrothorn</t>
  </si>
  <si>
    <t>Paradox Rift
#209</t>
  </si>
  <si>
    <t>Klink</t>
  </si>
  <si>
    <t>Klang</t>
  </si>
  <si>
    <t>Klinklang</t>
  </si>
  <si>
    <t>Tynamo</t>
  </si>
  <si>
    <t>Eelektrik</t>
  </si>
  <si>
    <t>Eelektross</t>
  </si>
  <si>
    <t>Fusion Strike
#097</t>
  </si>
  <si>
    <t>Vivid Voltage
#059</t>
  </si>
  <si>
    <t>Burning Shadows
#46</t>
  </si>
  <si>
    <t>Obsidian Flames
#069</t>
  </si>
  <si>
    <t>Elgyem</t>
  </si>
  <si>
    <t>Beheeyem</t>
  </si>
  <si>
    <t>Litwick</t>
  </si>
  <si>
    <t>Lampent</t>
  </si>
  <si>
    <t>Chandelure</t>
  </si>
  <si>
    <t>Axew</t>
  </si>
  <si>
    <t>Brilliant Stars
#110</t>
  </si>
  <si>
    <t>Unified Minds
#154</t>
  </si>
  <si>
    <t>BREAKthrough
#109</t>
  </si>
  <si>
    <t>BREAKthrough
#108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</si>
  <si>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</si>
  <si>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</si>
  <si>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</si>
  <si>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</si>
  <si>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</si>
  <si>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</si>
  <si>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</si>
  <si>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</si>
  <si>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</si>
  <si>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</si>
  <si>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</si>
  <si>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</si>
  <si>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</si>
  <si>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</si>
  <si>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</si>
  <si>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</si>
  <si>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</si>
  <si>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Silver Tempest
#148</t>
  </si>
  <si>
    <t>Astral Radiance
#131</t>
  </si>
  <si>
    <t>Dragons Exalted
#111</t>
  </si>
  <si>
    <t>Steam Siege
#92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</si>
  <si>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</si>
  <si>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</si>
  <si>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</si>
  <si>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</si>
  <si>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</si>
  <si>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</si>
  <si>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</si>
  <si>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</si>
  <si>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</si>
  <si>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</si>
  <si>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</si>
  <si>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</si>
  <si>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</si>
  <si>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</si>
  <si>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</si>
  <si>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</si>
  <si>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</si>
  <si>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Cosmic Eclipse
#222</t>
  </si>
  <si>
    <t>Brilliant Stars
#TG05</t>
  </si>
  <si>
    <t>XY Promos
#XY76</t>
  </si>
  <si>
    <t>Celebrations
#114</t>
  </si>
  <si>
    <t>Landorus-Incarnate</t>
  </si>
  <si>
    <t>Kyurem</t>
  </si>
  <si>
    <t>Keldeo-Ordinary</t>
  </si>
  <si>
    <t>Crown Zenith
#GG07</t>
  </si>
  <si>
    <t>Meloetta-Aria</t>
  </si>
  <si>
    <t>Genesect</t>
  </si>
  <si>
    <t>Chespin</t>
  </si>
  <si>
    <t>Quilladin</t>
  </si>
  <si>
    <t>Chesnaught</t>
  </si>
  <si>
    <t>Fennekin</t>
  </si>
  <si>
    <t>Braixen</t>
  </si>
  <si>
    <t>Silver Tempest
#TG01</t>
  </si>
  <si>
    <t>Cosmic Eclipse
#22</t>
  </si>
  <si>
    <t>Delphox</t>
  </si>
  <si>
    <t>Froakie</t>
  </si>
  <si>
    <t>Frogadier</t>
  </si>
  <si>
    <t>Greninja</t>
  </si>
  <si>
    <t>Astral Radiance
#046</t>
  </si>
  <si>
    <t>Sword &amp; Shield Promos
#SWSH305</t>
  </si>
  <si>
    <t>Forbidden Light
#SV56</t>
  </si>
  <si>
    <t>XY Promos
#XY24</t>
  </si>
  <si>
    <t>Bunnelby</t>
  </si>
  <si>
    <t>Sword &amp; Shield Promos
#SWSH082</t>
  </si>
  <si>
    <t>Forbidden Light
#97</t>
  </si>
  <si>
    <t>Obsidian Flames
#175</t>
  </si>
  <si>
    <t>Primal Clash
#121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</si>
  <si>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</si>
  <si>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</si>
  <si>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</si>
  <si>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</si>
  <si>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</si>
  <si>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</si>
  <si>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</si>
  <si>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</si>
  <si>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</si>
  <si>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</si>
  <si>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</si>
  <si>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</si>
  <si>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</si>
  <si>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</si>
  <si>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</si>
  <si>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</si>
  <si>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</si>
  <si>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</si>
  <si>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</si>
  <si>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</si>
  <si>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</si>
  <si>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</si>
  <si>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</si>
  <si>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</si>
  <si>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</si>
  <si>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</si>
  <si>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</si>
  <si>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</si>
  <si>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</si>
  <si>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</si>
  <si>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</si>
  <si>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</si>
  <si>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</si>
  <si>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</si>
  <si>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</si>
  <si>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</si>
  <si>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</si>
  <si>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</si>
  <si>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</si>
  <si>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</si>
  <si>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</si>
  <si>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</si>
  <si>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</si>
  <si>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</si>
  <si>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</si>
  <si>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</si>
  <si>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Fusion Strike
#196</t>
  </si>
  <si>
    <t>Guardians Rising
#95</t>
  </si>
  <si>
    <t>Lost Origin
#133</t>
  </si>
  <si>
    <t>Forbidden Light
#93</t>
  </si>
  <si>
    <t>Goodra</t>
  </si>
  <si>
    <t>Crown Zenith
#GG21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</si>
  <si>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</si>
  <si>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</si>
  <si>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</si>
  <si>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</si>
  <si>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</si>
  <si>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</si>
  <si>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</si>
  <si>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Forbidden Light
#30</t>
  </si>
  <si>
    <t>Flashfire
#31</t>
  </si>
  <si>
    <t>Astral Radiance
#048</t>
  </si>
  <si>
    <t>Steam Siege
#37</t>
  </si>
  <si>
    <t>Noibat</t>
  </si>
  <si>
    <t>Noivern</t>
  </si>
  <si>
    <t>Xerneas</t>
  </si>
  <si>
    <t>Yveltal</t>
  </si>
  <si>
    <t>Generations
#RC16</t>
  </si>
  <si>
    <t>Paradox Rift
#205</t>
  </si>
  <si>
    <t>Shining Fates
#046</t>
  </si>
  <si>
    <t>XY
#144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</si>
  <si>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</si>
  <si>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</si>
  <si>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</si>
  <si>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</si>
  <si>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</si>
  <si>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</si>
  <si>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</si>
  <si>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</si>
  <si>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</si>
  <si>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</si>
  <si>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</si>
  <si>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</si>
  <si>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</si>
  <si>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</si>
  <si>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</si>
  <si>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</si>
  <si>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Sun &amp; Moon
#108</t>
  </si>
  <si>
    <t>Lost Thunder
#166</t>
  </si>
  <si>
    <t>Vivid Voltage
#145</t>
  </si>
  <si>
    <t>Yungoos</t>
  </si>
  <si>
    <t>Gumshoos</t>
  </si>
  <si>
    <t>Grubbin</t>
  </si>
  <si>
    <t>Charjabug</t>
  </si>
  <si>
    <t>Temporal Forces
#169</t>
  </si>
  <si>
    <t>Crown Zenith
#051</t>
  </si>
  <si>
    <t>Vikavolt</t>
  </si>
  <si>
    <t>Crabrawler</t>
  </si>
  <si>
    <t>Crabominable</t>
  </si>
  <si>
    <t>Oricorio-Baile</t>
  </si>
  <si>
    <t>Paldean Fates
#113</t>
  </si>
  <si>
    <t>Crown Zenith
#GG04</t>
  </si>
  <si>
    <t>Cutiefly</t>
  </si>
  <si>
    <t>Temporal Forces
#172</t>
  </si>
  <si>
    <t>Lost Thunder
#145</t>
  </si>
  <si>
    <t>Ribombee</t>
  </si>
  <si>
    <t>Evolving Skies
#079</t>
  </si>
  <si>
    <t>Lost Thunder
#146</t>
  </si>
  <si>
    <t>Sun &amp; Moon
#93</t>
  </si>
  <si>
    <t>Temporal Forces
#076</t>
  </si>
  <si>
    <t>Rockruff</t>
  </si>
  <si>
    <t>Lycanroc-Midday</t>
  </si>
  <si>
    <t>Paldea Evolved
#117</t>
  </si>
  <si>
    <t>Wishiwashi-Solo</t>
  </si>
  <si>
    <t>Mareanie</t>
  </si>
  <si>
    <t>Toxapex</t>
  </si>
  <si>
    <t>Mudbray</t>
  </si>
  <si>
    <t>Mudsdale</t>
  </si>
  <si>
    <t>Temporal Forces
#175</t>
  </si>
  <si>
    <t>Burning Shadows
#78</t>
  </si>
  <si>
    <t>Temporal Forces
#092</t>
  </si>
  <si>
    <t>Sun &amp; Moon Promos
#SM20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</si>
  <si>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</si>
  <si>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</si>
  <si>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</si>
  <si>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</si>
  <si>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</si>
  <si>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</si>
  <si>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</si>
  <si>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</si>
  <si>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</si>
  <si>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</si>
  <si>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</si>
  <si>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</si>
  <si>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</si>
  <si>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Darkness Ablaze
#016</t>
  </si>
  <si>
    <t>Unified Minds
#19</t>
  </si>
  <si>
    <t>Silver Tempest
#016</t>
  </si>
  <si>
    <t>Chilling Reign
#015</t>
  </si>
  <si>
    <t>Comfey</t>
  </si>
  <si>
    <t>Oranguru</t>
  </si>
  <si>
    <t>Passimian</t>
  </si>
  <si>
    <t>Wimpod</t>
  </si>
  <si>
    <t>Paradox Rift
#191</t>
  </si>
  <si>
    <t>Paradox Rift
#048</t>
  </si>
  <si>
    <t>Paradox Rift
#047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</si>
  <si>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</si>
  <si>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</si>
  <si>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</si>
  <si>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</si>
  <si>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</si>
  <si>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</si>
  <si>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</si>
  <si>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</si>
  <si>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</si>
  <si>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</si>
  <si>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Cosmic Eclipse
#73</t>
  </si>
  <si>
    <t>Stellar Miracle
#N/A</t>
  </si>
  <si>
    <t>Sun &amp; Moon Trainer Kit - Alolan Raichu
#26</t>
  </si>
  <si>
    <t>Burning Shadows
#47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</si>
  <si>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</si>
  <si>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</si>
  <si>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</si>
  <si>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</si>
  <si>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</si>
  <si>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</si>
  <si>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</si>
  <si>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</si>
  <si>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Paradox Rift
#247</t>
  </si>
  <si>
    <t>Battle Styles
#050</t>
  </si>
  <si>
    <t>Guardians Rising
#135</t>
  </si>
  <si>
    <t>Sun &amp; Moon Promos
#SM30a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</si>
  <si>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</si>
  <si>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</si>
  <si>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</si>
  <si>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</si>
  <si>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</si>
  <si>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</si>
  <si>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</si>
  <si>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</si>
  <si>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</si>
  <si>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</si>
  <si>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</si>
  <si>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</si>
  <si>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</si>
  <si>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</si>
  <si>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Crimson Invasion
#SV71</t>
  </si>
  <si>
    <t>Crimson Invasion
#63</t>
  </si>
  <si>
    <t>Cosmic Eclipse
#136</t>
  </si>
  <si>
    <t>Forbidden Light
#80</t>
  </si>
  <si>
    <t>Necrozma</t>
  </si>
  <si>
    <t>Magearna</t>
  </si>
  <si>
    <t>Marshadow</t>
  </si>
  <si>
    <t>Unbroken Bonds
#82</t>
  </si>
  <si>
    <t>Burning Shadows
#80</t>
  </si>
  <si>
    <t>Evolving Skies
#080</t>
  </si>
  <si>
    <t>Cosmic Eclipse
#103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</si>
  <si>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</si>
  <si>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</si>
  <si>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</si>
  <si>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</si>
  <si>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</si>
  <si>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</si>
  <si>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</si>
  <si>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</si>
  <si>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</si>
  <si>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</si>
  <si>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</si>
  <si>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</si>
  <si>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</si>
  <si>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</si>
  <si>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</si>
  <si>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</si>
  <si>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</si>
  <si>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</si>
  <si>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</si>
  <si>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</si>
  <si>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</si>
  <si>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Silver Tempest
#TG18</t>
  </si>
  <si>
    <t>Paldea Evolved
#148</t>
  </si>
  <si>
    <t>Sword &amp; Shield Promos
#SWSH200</t>
  </si>
  <si>
    <t>Fusion Strike
#190</t>
  </si>
  <si>
    <t>Blipbug</t>
  </si>
  <si>
    <t>Shining Fates
#SV007</t>
  </si>
  <si>
    <t>Paradox Rift
#010</t>
  </si>
  <si>
    <t>Sword &amp; Shield
#016</t>
  </si>
  <si>
    <t>Sword &amp; Shield
#017</t>
  </si>
  <si>
    <t>Dottler</t>
  </si>
  <si>
    <t>Orbeetle</t>
  </si>
  <si>
    <t>Nickit</t>
  </si>
  <si>
    <t>Thievul</t>
  </si>
  <si>
    <t>Gossifleur</t>
  </si>
  <si>
    <t>Eldegoss</t>
  </si>
  <si>
    <t>Champion’s Path
#005</t>
  </si>
  <si>
    <t>Sword &amp; Shield Promos
#SWSH084</t>
  </si>
  <si>
    <t>Shining Fates
#SV011</t>
  </si>
  <si>
    <t>Fusion Strike
#025</t>
  </si>
  <si>
    <t>Wooloo</t>
  </si>
  <si>
    <t>Dubwool</t>
  </si>
  <si>
    <t>Chewtle</t>
  </si>
  <si>
    <t>Drednaw</t>
  </si>
  <si>
    <t>Vivid Voltage
#039</t>
  </si>
  <si>
    <t>Sword &amp; Shield Promos
#SWSH047</t>
  </si>
  <si>
    <t>Shining Fates
#027</t>
  </si>
  <si>
    <t>Champion’s Path
#015</t>
  </si>
  <si>
    <t>Yamper</t>
  </si>
  <si>
    <t>Boltund</t>
  </si>
  <si>
    <t>Rolycoly</t>
  </si>
  <si>
    <t>Carkol</t>
  </si>
  <si>
    <t>Shining Fates
#SV068</t>
  </si>
  <si>
    <t>Temporal Forces
#094</t>
  </si>
  <si>
    <t>Battle Styles
#079</t>
  </si>
  <si>
    <t>Rebel Clash
#106</t>
  </si>
  <si>
    <t>Coalossal</t>
  </si>
  <si>
    <t>Darkness Ablaze
#198</t>
  </si>
  <si>
    <t>Sword &amp; Shield Promos
#SWSH024</t>
  </si>
  <si>
    <t>Sword &amp; Shield Promos
#SWSH054</t>
  </si>
  <si>
    <t>Vivid Voltage
#189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</si>
  <si>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</si>
  <si>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</si>
  <si>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</si>
  <si>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</si>
  <si>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</si>
  <si>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</si>
  <si>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</si>
  <si>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</si>
  <si>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</si>
  <si>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</si>
  <si>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</si>
  <si>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</si>
  <si>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</si>
  <si>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</si>
  <si>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Paldean Fates
#052</t>
  </si>
  <si>
    <t>Champion’s Path
#032</t>
  </si>
  <si>
    <t>Shining Fates
#SV073</t>
  </si>
  <si>
    <t>Vivid Voltage
#101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</si>
  <si>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</si>
  <si>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</si>
  <si>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</si>
  <si>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</si>
  <si>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</si>
  <si>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</si>
  <si>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</si>
  <si>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</si>
  <si>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</si>
  <si>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Astral Radiance
#TG10</t>
  </si>
  <si>
    <t>Shining Fates
#SV080</t>
  </si>
  <si>
    <t>Vivid Voltage
#198</t>
  </si>
  <si>
    <t>Perrserker</t>
  </si>
  <si>
    <t>Lost Origin
#184</t>
  </si>
  <si>
    <t>Lost Origin
#129</t>
  </si>
  <si>
    <t>Fusion Strike
#181</t>
  </si>
  <si>
    <t>Sword &amp; Shield Promos
#SWSH008</t>
  </si>
  <si>
    <t>Cursola</t>
  </si>
  <si>
    <t>Sirfetchd</t>
  </si>
  <si>
    <t>Vivid Voltage
#174</t>
  </si>
  <si>
    <t>Rebel Clash
#095</t>
  </si>
  <si>
    <t>Shining Fates
#SV064</t>
  </si>
  <si>
    <t>Sword &amp; Shield Promos
#SWSH043</t>
  </si>
  <si>
    <t>Mr-Rime</t>
  </si>
  <si>
    <t>Runerigus</t>
  </si>
  <si>
    <t>Milcery</t>
  </si>
  <si>
    <t>Alcremie</t>
  </si>
  <si>
    <t>Falinks</t>
  </si>
  <si>
    <t>Astral Radiance
#TG07</t>
  </si>
  <si>
    <t>Lost Origin
#110</t>
  </si>
  <si>
    <t>Paldea Evolved
#119</t>
  </si>
  <si>
    <t>Fusion Strike
#155</t>
  </si>
  <si>
    <t>Pincurchin</t>
  </si>
  <si>
    <t>Snom</t>
  </si>
  <si>
    <t>Frosmoth</t>
  </si>
  <si>
    <t>Stonjourner</t>
  </si>
  <si>
    <t>Eiscue-Ice</t>
  </si>
  <si>
    <t>Paldea Evolved
#205</t>
  </si>
  <si>
    <t>Shining Fates
#SV035</t>
  </si>
  <si>
    <t>Evolving Skies
#047</t>
  </si>
  <si>
    <t>Obsidian Flames
#222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</si>
  <si>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</si>
  <si>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</si>
  <si>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</si>
  <si>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</si>
  <si>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</si>
  <si>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</si>
  <si>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</si>
  <si>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Darkness Ablaze
#053</t>
  </si>
  <si>
    <t>Shining Fates
#SV036</t>
  </si>
  <si>
    <t>Brilliant Stars
#114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</si>
  <si>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</si>
  <si>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</si>
  <si>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</si>
  <si>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</si>
  <si>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</si>
  <si>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</si>
  <si>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</si>
  <si>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</si>
  <si>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</si>
  <si>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Chilling Reign
#093</t>
  </si>
  <si>
    <t>Urshifu-Single-Strike</t>
  </si>
  <si>
    <t>Battle Styles
#168</t>
  </si>
  <si>
    <t>Brilliant Stars
#TG18</t>
  </si>
  <si>
    <t>Battle Styles
#150</t>
  </si>
  <si>
    <t>Battle Styles
#086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</si>
  <si>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</si>
  <si>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</si>
  <si>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</si>
  <si>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</si>
  <si>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</si>
  <si>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</si>
  <si>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</si>
  <si>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</si>
  <si>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</si>
  <si>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</si>
  <si>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Astral Radiance
#044</t>
  </si>
  <si>
    <t>Sword &amp; Shield Promos
#SWSH205</t>
  </si>
  <si>
    <t>Lost Origin
#045</t>
  </si>
  <si>
    <t>Sneasler</t>
  </si>
  <si>
    <t>Overqwil</t>
  </si>
  <si>
    <t>Enamorus-Incarnate</t>
  </si>
  <si>
    <t>Sprigatito</t>
  </si>
  <si>
    <t>Floragato</t>
  </si>
  <si>
    <t>Meowscarada</t>
  </si>
  <si>
    <t>Paldea Evolved
#256</t>
  </si>
  <si>
    <t>Scarlet &amp; Violet Promos
#078</t>
  </si>
  <si>
    <t>Scarlet &amp; Violet
#015</t>
  </si>
  <si>
    <t>Paldea Evolved
#231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</si>
  <si>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</si>
  <si>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</si>
  <si>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</si>
  <si>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</si>
  <si>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</si>
  <si>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</si>
  <si>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</si>
  <si>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</si>
  <si>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</si>
  <si>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</si>
  <si>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</si>
  <si>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</si>
  <si>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</si>
  <si>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</si>
  <si>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</si>
  <si>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</si>
  <si>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</si>
  <si>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</si>
  <si>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</si>
  <si>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</si>
  <si>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</si>
  <si>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</si>
  <si>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</si>
  <si>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</si>
  <si>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</si>
  <si>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Paldea Evolved
#122</t>
  </si>
  <si>
    <t>Paldean Fates
#177</t>
  </si>
  <si>
    <t>Paradox Rift
#103</t>
  </si>
  <si>
    <t>Garganacl</t>
  </si>
  <si>
    <t>Charcadet</t>
  </si>
  <si>
    <t>Armarouge</t>
  </si>
  <si>
    <t>Ceruledge</t>
  </si>
  <si>
    <t>Tadbulb</t>
  </si>
  <si>
    <t>Bellibolt</t>
  </si>
  <si>
    <t>Wattrel</t>
  </si>
  <si>
    <t>Twilight Masquerade
#178</t>
  </si>
  <si>
    <t>Twilight Masquerade
#075</t>
  </si>
  <si>
    <t>Paldea Evolved
#080</t>
  </si>
  <si>
    <t>Scarlet &amp; Violet
#077</t>
  </si>
  <si>
    <t>Kilowattrel</t>
  </si>
  <si>
    <t>Maschiff</t>
  </si>
  <si>
    <t>Mabosstiff</t>
  </si>
  <si>
    <t>Scarlet &amp; Violet
#218</t>
  </si>
  <si>
    <t>Scarlet &amp; Violet / Paldean Fates
#137 / 63</t>
  </si>
  <si>
    <t>Scarlet &amp; Violet Promos
#86</t>
  </si>
  <si>
    <t>Paldean Fates
#188</t>
  </si>
  <si>
    <t>Shroodle</t>
  </si>
  <si>
    <t>Grafaiai</t>
  </si>
  <si>
    <t>Paldea Evolved
#223</t>
  </si>
  <si>
    <t>Paldea Evolved
#146</t>
  </si>
  <si>
    <t>Paldean Fates
#190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</si>
  <si>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</si>
  <si>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</si>
  <si>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</si>
  <si>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</si>
  <si>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</si>
  <si>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</si>
  <si>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</si>
  <si>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</si>
  <si>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</si>
  <si>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</si>
  <si>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</si>
  <si>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</si>
  <si>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</si>
  <si>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</si>
  <si>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</si>
  <si>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</si>
  <si>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</si>
  <si>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</si>
  <si>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</si>
  <si>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Varoom</t>
  </si>
  <si>
    <t>Obsidian Flames
#206</t>
  </si>
  <si>
    <t>Twilight Masquerade
#124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</si>
  <si>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</si>
  <si>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</si>
  <si>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</si>
  <si>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</si>
  <si>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</si>
  <si>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</si>
  <si>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</si>
  <si>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</si>
  <si>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</si>
  <si>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</si>
  <si>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</si>
  <si>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</si>
  <si>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</si>
  <si>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Twilight Masquerade
#186</t>
  </si>
  <si>
    <t>Scarlet &amp; Violet Promos
#118</t>
  </si>
  <si>
    <t>Paradox Rift
#141</t>
  </si>
  <si>
    <t>Twilight Masquerade
#131</t>
  </si>
  <si>
    <t>Annihilape</t>
  </si>
  <si>
    <t>Clodsire</t>
  </si>
  <si>
    <t>Farigiraf</t>
  </si>
  <si>
    <t>Paldea Evolved
#228</t>
  </si>
  <si>
    <t>Temporal Forces
#194</t>
  </si>
  <si>
    <t>Temporal Forces
#108</t>
  </si>
  <si>
    <t>Twilight Masquerade
#084</t>
  </si>
  <si>
    <t>Dudunsparce</t>
  </si>
  <si>
    <t>Kingambit</t>
  </si>
  <si>
    <t>Great-Tusk</t>
  </si>
  <si>
    <t>Scream-Tail</t>
  </si>
  <si>
    <t>Brute-Bonnet</t>
  </si>
  <si>
    <t>Flutter-Mane</t>
  </si>
  <si>
    <t>Scarlet &amp; Violet Promos
#097</t>
  </si>
  <si>
    <t>Temporal Forces
#078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</si>
  <si>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</si>
  <si>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</si>
  <si>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</si>
  <si>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</si>
  <si>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</si>
  <si>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</si>
  <si>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</si>
  <si>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</si>
  <si>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</si>
  <si>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</si>
  <si>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</si>
  <si>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</si>
  <si>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</si>
  <si>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</si>
  <si>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</si>
  <si>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</si>
  <si>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</si>
  <si>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</si>
  <si>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</si>
  <si>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Paradox Rift
#249</t>
  </si>
  <si>
    <t>Paradox Rift
#225</t>
  </si>
  <si>
    <t>Temporal Forces
#080</t>
  </si>
  <si>
    <t>Temporal Forces
#079</t>
  </si>
  <si>
    <t>Koraidon</t>
  </si>
  <si>
    <t>Miraidon</t>
  </si>
  <si>
    <t>Walking-Wake</t>
  </si>
  <si>
    <t>Iron-Leaves</t>
  </si>
  <si>
    <t>Dipplin</t>
  </si>
  <si>
    <t>Twilight Masquerade
#170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</si>
  <si>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</si>
  <si>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</si>
  <si>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</si>
  <si>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</si>
  <si>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</si>
  <si>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</si>
  <si>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</si>
  <si>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</si>
  <si>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</si>
  <si>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Raging-Bolt</t>
  </si>
  <si>
    <t>Iron-Boulder</t>
  </si>
  <si>
    <t>Iron-Crown</t>
  </si>
  <si>
    <t>Terapagos</t>
  </si>
  <si>
    <t>Pecharunt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</si>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</sst>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75"/>
  <sheetViews>
    <sheetView tabSelected="1" workbookViewId="0"/>
  </sheetViews>
  <sheetFormatPr defaultRowHeight="15"/>
  <cols>
    <col min="3" max="6" width="3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1431</v>
      </c>
      <c r="J1" s="1">
        <f>concat(round(countif(G2:G9999, "TRUE")), concat(" of ", COUNTA(G2:G9999)))</f>
        <v>0</v>
      </c>
      <c r="K1" s="1">
        <f>concat(concat("(", concat(round(countif(G2:G9999, "TRUE")/COUNTA(G2:G9999)*100, 2), "%")), ")")</f>
        <v>0</v>
      </c>
    </row>
    <row r="2" spans="1:11" ht="264" customHeight="1">
      <c r="A2" s="2">
        <v>1</v>
      </c>
      <c r="B2" s="3" t="s">
        <v>7</v>
      </c>
      <c r="C2">
        <f>IMAGE("https://raw.githubusercontent.com/stautonico/tcg-livingdex/main/images/1/1.png", 2)</f>
        <v>0</v>
      </c>
      <c r="G2" t="s">
        <v>9</v>
      </c>
    </row>
    <row r="3" spans="1:11">
      <c r="C3" s="4" t="s">
        <v>8</v>
      </c>
    </row>
    <row r="5" spans="1:11" ht="264" customHeight="1">
      <c r="A5" s="2">
        <v>2</v>
      </c>
      <c r="B5" s="3" t="s">
        <v>10</v>
      </c>
      <c r="C5">
        <f>IMAGE("https://raw.githubusercontent.com/stautonico/tcg-livingdex/main/images/2/1.png", 2)</f>
        <v>0</v>
      </c>
      <c r="G5" t="s">
        <v>9</v>
      </c>
    </row>
    <row r="6" spans="1:11">
      <c r="C6" s="4" t="s">
        <v>8</v>
      </c>
    </row>
    <row r="8" spans="1:11" ht="264" customHeight="1">
      <c r="A8" s="2">
        <v>3</v>
      </c>
      <c r="B8" s="3" t="s">
        <v>11</v>
      </c>
      <c r="C8">
        <f>IMAGE("https://raw.githubusercontent.com/stautonico/tcg-livingdex/main/images/3/1.png", 2)</f>
        <v>0</v>
      </c>
      <c r="G8" t="s">
        <v>9</v>
      </c>
    </row>
    <row r="9" spans="1:11">
      <c r="C9" s="4" t="s">
        <v>8</v>
      </c>
    </row>
    <row r="11" spans="1:11" ht="264" customHeight="1">
      <c r="A11" s="2">
        <v>4</v>
      </c>
      <c r="B11" s="3" t="s">
        <v>12</v>
      </c>
      <c r="C11">
        <f>IMAGE("https://raw.githubusercontent.com/stautonico/tcg-livingdex/main/images/4/1.png", 2)</f>
        <v>0</v>
      </c>
      <c r="D11">
        <f>IMAGE("https://raw.githubusercontent.com/stautonico/tcg-livingdex/main/images/4/2.png", 2)</f>
        <v>0</v>
      </c>
      <c r="G11" t="s">
        <v>9</v>
      </c>
    </row>
    <row r="12" spans="1:11">
      <c r="C12" s="4" t="s">
        <v>13</v>
      </c>
      <c r="D12" s="4" t="s">
        <v>14</v>
      </c>
    </row>
    <row r="14" spans="1:11" ht="264" customHeight="1">
      <c r="A14" s="2">
        <v>5</v>
      </c>
      <c r="B14" s="3" t="s">
        <v>15</v>
      </c>
      <c r="C14">
        <f>IMAGE("https://raw.githubusercontent.com/stautonico/tcg-livingdex/main/images/5/1.png", 2)</f>
        <v>0</v>
      </c>
      <c r="G14" t="s">
        <v>9</v>
      </c>
    </row>
    <row r="15" spans="1:11">
      <c r="C15" s="4" t="s">
        <v>8</v>
      </c>
    </row>
    <row r="17" spans="1:7" ht="264" customHeight="1">
      <c r="A17" s="2">
        <v>6</v>
      </c>
      <c r="B17" s="3" t="s">
        <v>16</v>
      </c>
      <c r="C17">
        <f>IMAGE("https://raw.githubusercontent.com/stautonico/tcg-livingdex/main/images/6/1.png", 2)</f>
        <v>0</v>
      </c>
      <c r="G17" t="s">
        <v>9</v>
      </c>
    </row>
    <row r="18" spans="1:7">
      <c r="C18" s="4" t="s">
        <v>8</v>
      </c>
    </row>
    <row r="20" spans="1:7" ht="264" customHeight="1">
      <c r="A20" s="2">
        <v>7</v>
      </c>
      <c r="B20" s="3" t="s">
        <v>17</v>
      </c>
      <c r="C20">
        <f>IMAGE("https://raw.githubusercontent.com/stautonico/tcg-livingdex/main/images/7/1.png", 2)</f>
        <v>0</v>
      </c>
      <c r="G20" t="s">
        <v>9</v>
      </c>
    </row>
    <row r="21" spans="1:7">
      <c r="C21" s="4" t="s">
        <v>8</v>
      </c>
    </row>
    <row r="23" spans="1:7" ht="264" customHeight="1">
      <c r="A23" s="2">
        <v>8</v>
      </c>
      <c r="B23" s="3" t="s">
        <v>18</v>
      </c>
      <c r="C23">
        <f>IMAGE("https://raw.githubusercontent.com/stautonico/tcg-livingdex/main/images/8/1.png", 2)</f>
        <v>0</v>
      </c>
      <c r="G23" t="s">
        <v>9</v>
      </c>
    </row>
    <row r="24" spans="1:7">
      <c r="C24" s="4" t="s">
        <v>8</v>
      </c>
    </row>
    <row r="26" spans="1:7" ht="264" customHeight="1">
      <c r="A26" s="2">
        <v>9</v>
      </c>
      <c r="B26" s="3" t="s">
        <v>19</v>
      </c>
      <c r="C26">
        <f>IMAGE("https://raw.githubusercontent.com/stautonico/tcg-livingdex/main/images/9/1.png", 2)</f>
        <v>0</v>
      </c>
      <c r="G26" t="s">
        <v>9</v>
      </c>
    </row>
    <row r="27" spans="1:7">
      <c r="C27" s="4" t="s">
        <v>8</v>
      </c>
    </row>
    <row r="29" spans="1:7" ht="264" customHeight="1">
      <c r="A29" s="2">
        <v>10</v>
      </c>
      <c r="B29" s="3" t="s">
        <v>20</v>
      </c>
      <c r="C29">
        <f>IMAGE("https://raw.githubusercontent.com/stautonico/tcg-livingdex/main/images/10/1.png", 2)</f>
        <v>0</v>
      </c>
      <c r="G29" t="s">
        <v>9</v>
      </c>
    </row>
    <row r="30" spans="1:7">
      <c r="C30" s="4" t="s">
        <v>8</v>
      </c>
    </row>
    <row r="32" spans="1:7" ht="264" customHeight="1">
      <c r="A32" s="2">
        <v>11</v>
      </c>
      <c r="B32" s="3" t="s">
        <v>21</v>
      </c>
      <c r="C32">
        <f>IMAGE("https://raw.githubusercontent.com/stautonico/tcg-livingdex/main/images/11/1.png", 2)</f>
        <v>0</v>
      </c>
      <c r="G32" t="s">
        <v>9</v>
      </c>
    </row>
    <row r="33" spans="1:7">
      <c r="C33" s="4" t="s">
        <v>8</v>
      </c>
    </row>
    <row r="35" spans="1:7" ht="264" customHeight="1">
      <c r="A35" s="2">
        <v>12</v>
      </c>
      <c r="B35" s="3" t="s">
        <v>22</v>
      </c>
      <c r="C35">
        <f>IMAGE("https://raw.githubusercontent.com/stautonico/tcg-livingdex/main/images/12/1.png", 2)</f>
        <v>0</v>
      </c>
      <c r="G35" t="s">
        <v>9</v>
      </c>
    </row>
    <row r="36" spans="1:7">
      <c r="C36" s="4" t="s">
        <v>8</v>
      </c>
    </row>
    <row r="38" spans="1:7" ht="264" customHeight="1">
      <c r="A38" s="2">
        <v>13</v>
      </c>
      <c r="B38" s="3" t="s">
        <v>23</v>
      </c>
      <c r="C38">
        <f>IMAGE("https://raw.githubusercontent.com/stautonico/tcg-livingdex/main/images/13/1.png", 2)</f>
        <v>0</v>
      </c>
      <c r="G38" t="s">
        <v>9</v>
      </c>
    </row>
    <row r="39" spans="1:7">
      <c r="C39" s="4" t="s">
        <v>8</v>
      </c>
    </row>
    <row r="41" spans="1:7" ht="264" customHeight="1">
      <c r="A41" s="2">
        <v>14</v>
      </c>
      <c r="B41" s="3" t="s">
        <v>24</v>
      </c>
      <c r="C41">
        <f>IMAGE("https://raw.githubusercontent.com/stautonico/tcg-livingdex/main/images/14/1.png", 2)</f>
        <v>0</v>
      </c>
      <c r="G41" t="s">
        <v>9</v>
      </c>
    </row>
    <row r="42" spans="1:7">
      <c r="C42" s="4" t="s">
        <v>8</v>
      </c>
    </row>
    <row r="44" spans="1:7" ht="264" customHeight="1">
      <c r="A44" s="2">
        <v>15</v>
      </c>
      <c r="B44" s="3" t="s">
        <v>25</v>
      </c>
      <c r="C44">
        <f>IMAGE("https://raw.githubusercontent.com/stautonico/tcg-livingdex/main/images/15/1.png", 2)</f>
        <v>0</v>
      </c>
      <c r="G44" t="s">
        <v>9</v>
      </c>
    </row>
    <row r="45" spans="1:7">
      <c r="C45" s="4" t="s">
        <v>8</v>
      </c>
    </row>
    <row r="47" spans="1:7" ht="264" customHeight="1">
      <c r="A47" s="2">
        <v>16</v>
      </c>
      <c r="B47" s="3" t="s">
        <v>26</v>
      </c>
      <c r="C47">
        <f>IMAGE("https://raw.githubusercontent.com/stautonico/tcg-livingdex/main/images/16/1.png", 2)</f>
        <v>0</v>
      </c>
      <c r="G47" t="s">
        <v>9</v>
      </c>
    </row>
    <row r="48" spans="1:7">
      <c r="C48" s="4" t="s">
        <v>8</v>
      </c>
    </row>
    <row r="50" spans="1:7" ht="264" customHeight="1">
      <c r="A50" s="2">
        <v>17</v>
      </c>
      <c r="B50" s="3" t="s">
        <v>27</v>
      </c>
      <c r="C50">
        <f>IMAGE("https://raw.githubusercontent.com/stautonico/tcg-livingdex/main/images/17/1.png", 2)</f>
        <v>0</v>
      </c>
      <c r="G50" t="s">
        <v>9</v>
      </c>
    </row>
    <row r="51" spans="1:7">
      <c r="C51" s="4" t="s">
        <v>8</v>
      </c>
    </row>
    <row r="53" spans="1:7" ht="264" customHeight="1">
      <c r="A53" s="2">
        <v>18</v>
      </c>
      <c r="B53" s="3" t="s">
        <v>28</v>
      </c>
      <c r="C53">
        <f>IMAGE("https://raw.githubusercontent.com/stautonico/tcg-livingdex/main/images/18/1.png", 2)</f>
        <v>0</v>
      </c>
      <c r="G53" t="s">
        <v>9</v>
      </c>
    </row>
    <row r="54" spans="1:7">
      <c r="C54" s="4" t="s">
        <v>8</v>
      </c>
    </row>
    <row r="56" spans="1:7" ht="264" customHeight="1">
      <c r="A56" s="2">
        <v>19</v>
      </c>
      <c r="B56" s="3" t="s">
        <v>29</v>
      </c>
      <c r="C56">
        <f>IMAGE("https://raw.githubusercontent.com/stautonico/tcg-livingdex/main/images/19/1.png", 2)</f>
        <v>0</v>
      </c>
      <c r="D56">
        <f>IMAGE("https://raw.githubusercontent.com/stautonico/tcg-livingdex/main/images/19/2.png", 2)</f>
        <v>0</v>
      </c>
      <c r="E56">
        <f>IMAGE("https://raw.githubusercontent.com/stautonico/tcg-livingdex/main/images/19/3.png", 2)</f>
        <v>0</v>
      </c>
      <c r="F56">
        <f>IMAGE("https://raw.githubusercontent.com/stautonico/tcg-livingdex/main/images/19/4.png", 2)</f>
        <v>0</v>
      </c>
      <c r="G56" t="s">
        <v>9</v>
      </c>
    </row>
    <row r="57" spans="1:7">
      <c r="C57" s="4" t="s">
        <v>30</v>
      </c>
      <c r="D57" s="4" t="s">
        <v>31</v>
      </c>
      <c r="E57" s="4" t="s">
        <v>32</v>
      </c>
      <c r="F57" s="4" t="s">
        <v>33</v>
      </c>
    </row>
    <row r="59" spans="1:7" ht="264" customHeight="1">
      <c r="A59" s="2">
        <v>20</v>
      </c>
      <c r="B59" s="3" t="s">
        <v>34</v>
      </c>
      <c r="C59">
        <f>IMAGE("https://raw.githubusercontent.com/stautonico/tcg-livingdex/main/images/20/1.png", 2)</f>
        <v>0</v>
      </c>
      <c r="G59" t="s">
        <v>9</v>
      </c>
    </row>
    <row r="60" spans="1:7">
      <c r="C60" s="4" t="s">
        <v>8</v>
      </c>
    </row>
    <row r="62" spans="1:7" ht="264" customHeight="1">
      <c r="A62" s="2">
        <v>21</v>
      </c>
      <c r="B62" s="3" t="s">
        <v>35</v>
      </c>
      <c r="C62">
        <f>IMAGE("https://raw.githubusercontent.com/stautonico/tcg-livingdex/main/images/21/1.png", 2)</f>
        <v>0</v>
      </c>
      <c r="G62" t="s">
        <v>9</v>
      </c>
    </row>
    <row r="63" spans="1:7">
      <c r="C63" s="4" t="s">
        <v>8</v>
      </c>
    </row>
    <row r="65" spans="1:7" ht="264" customHeight="1">
      <c r="A65" s="2">
        <v>22</v>
      </c>
      <c r="B65" s="3" t="s">
        <v>36</v>
      </c>
      <c r="C65">
        <f>IMAGE("https://raw.githubusercontent.com/stautonico/tcg-livingdex/main/images/22/1.png", 2)</f>
        <v>0</v>
      </c>
      <c r="G65" t="s">
        <v>9</v>
      </c>
    </row>
    <row r="66" spans="1:7">
      <c r="C66" s="4" t="s">
        <v>8</v>
      </c>
    </row>
    <row r="68" spans="1:7" ht="264" customHeight="1">
      <c r="A68" s="2">
        <v>23</v>
      </c>
      <c r="B68" s="3" t="s">
        <v>37</v>
      </c>
      <c r="C68">
        <f>IMAGE("https://raw.githubusercontent.com/stautonico/tcg-livingdex/main/images/23/1.png", 2)</f>
        <v>0</v>
      </c>
      <c r="D68">
        <f>IMAGE("https://raw.githubusercontent.com/stautonico/tcg-livingdex/main/images/23/2.png", 2)</f>
        <v>0</v>
      </c>
      <c r="E68">
        <f>IMAGE("https://raw.githubusercontent.com/stautonico/tcg-livingdex/main/images/23/3.png", 2)</f>
        <v>0</v>
      </c>
      <c r="F68">
        <f>IMAGE("https://raw.githubusercontent.com/stautonico/tcg-livingdex/main/images/23/4.png", 2)</f>
        <v>0</v>
      </c>
      <c r="G68" t="s">
        <v>9</v>
      </c>
    </row>
    <row r="69" spans="1:7">
      <c r="C69" s="4" t="s">
        <v>38</v>
      </c>
      <c r="D69" s="4" t="s">
        <v>39</v>
      </c>
      <c r="E69" s="4" t="s">
        <v>40</v>
      </c>
      <c r="F69" s="4" t="s">
        <v>41</v>
      </c>
    </row>
    <row r="71" spans="1:7" ht="264" customHeight="1">
      <c r="A71" s="2">
        <v>24</v>
      </c>
      <c r="B71" s="3" t="s">
        <v>42</v>
      </c>
      <c r="C71">
        <f>IMAGE("https://raw.githubusercontent.com/stautonico/tcg-livingdex/main/images/24/1.png", 2)</f>
        <v>0</v>
      </c>
      <c r="G71" t="s">
        <v>9</v>
      </c>
    </row>
    <row r="72" spans="1:7">
      <c r="C72" s="4" t="s">
        <v>8</v>
      </c>
    </row>
    <row r="74" spans="1:7" ht="264" customHeight="1">
      <c r="A74" s="2">
        <v>25</v>
      </c>
      <c r="B74" s="3" t="s">
        <v>43</v>
      </c>
      <c r="C74">
        <f>IMAGE("https://raw.githubusercontent.com/stautonico/tcg-livingdex/main/images/25/1.png", 2)</f>
        <v>0</v>
      </c>
      <c r="G74" t="s">
        <v>9</v>
      </c>
    </row>
    <row r="75" spans="1:7">
      <c r="C75" s="4" t="s">
        <v>8</v>
      </c>
    </row>
    <row r="77" spans="1:7" ht="264" customHeight="1">
      <c r="A77" s="2">
        <v>26</v>
      </c>
      <c r="B77" s="3" t="s">
        <v>44</v>
      </c>
      <c r="C77">
        <f>IMAGE("https://raw.githubusercontent.com/stautonico/tcg-livingdex/main/images/26/1.png", 2)</f>
        <v>0</v>
      </c>
      <c r="G77" t="s">
        <v>9</v>
      </c>
    </row>
    <row r="78" spans="1:7">
      <c r="C78" s="4" t="s">
        <v>8</v>
      </c>
    </row>
    <row r="80" spans="1:7" ht="264" customHeight="1">
      <c r="A80" s="2">
        <v>27</v>
      </c>
      <c r="B80" s="3" t="s">
        <v>45</v>
      </c>
      <c r="C80">
        <f>IMAGE("https://raw.githubusercontent.com/stautonico/tcg-livingdex/main/images/27/1.png", 2)</f>
        <v>0</v>
      </c>
      <c r="G80" t="s">
        <v>9</v>
      </c>
    </row>
    <row r="81" spans="1:7">
      <c r="C81" s="4" t="s">
        <v>8</v>
      </c>
    </row>
    <row r="83" spans="1:7" ht="264" customHeight="1">
      <c r="A83" s="2">
        <v>28</v>
      </c>
      <c r="B83" s="3" t="s">
        <v>46</v>
      </c>
      <c r="C83">
        <f>IMAGE("https://raw.githubusercontent.com/stautonico/tcg-livingdex/main/images/28/1.png", 2)</f>
        <v>0</v>
      </c>
      <c r="G83" t="s">
        <v>9</v>
      </c>
    </row>
    <row r="84" spans="1:7">
      <c r="C84" s="4" t="s">
        <v>8</v>
      </c>
    </row>
    <row r="86" spans="1:7" ht="264" customHeight="1">
      <c r="A86" s="2">
        <v>29</v>
      </c>
      <c r="B86" s="3" t="s">
        <v>47</v>
      </c>
      <c r="C86">
        <f>IMAGE("https://raw.githubusercontent.com/stautonico/tcg-livingdex/main/images/29/1.png", 2)</f>
        <v>0</v>
      </c>
      <c r="G86" t="s">
        <v>9</v>
      </c>
    </row>
    <row r="87" spans="1:7">
      <c r="C87" s="4" t="s">
        <v>8</v>
      </c>
    </row>
    <row r="89" spans="1:7" ht="264" customHeight="1">
      <c r="A89" s="2">
        <v>30</v>
      </c>
      <c r="B89" s="3" t="s">
        <v>48</v>
      </c>
      <c r="C89">
        <f>IMAGE("https://raw.githubusercontent.com/stautonico/tcg-livingdex/main/images/30/1.png", 2)</f>
        <v>0</v>
      </c>
      <c r="G89" t="s">
        <v>9</v>
      </c>
    </row>
    <row r="90" spans="1:7">
      <c r="C90" s="4" t="s">
        <v>8</v>
      </c>
    </row>
    <row r="92" spans="1:7" ht="264" customHeight="1">
      <c r="A92" s="2">
        <v>31</v>
      </c>
      <c r="B92" s="3" t="s">
        <v>49</v>
      </c>
      <c r="C92">
        <f>IMAGE("https://raw.githubusercontent.com/stautonico/tcg-livingdex/main/images/31/1.png", 2)</f>
        <v>0</v>
      </c>
      <c r="G92" t="s">
        <v>9</v>
      </c>
    </row>
    <row r="93" spans="1:7">
      <c r="C93" s="4" t="s">
        <v>8</v>
      </c>
    </row>
    <row r="95" spans="1:7" ht="264" customHeight="1">
      <c r="A95" s="2">
        <v>32</v>
      </c>
      <c r="B95" s="3" t="s">
        <v>50</v>
      </c>
      <c r="C95">
        <f>IMAGE("https://raw.githubusercontent.com/stautonico/tcg-livingdex/main/images/32/1.png", 2)</f>
        <v>0</v>
      </c>
      <c r="G95" t="s">
        <v>9</v>
      </c>
    </row>
    <row r="96" spans="1:7">
      <c r="C96" s="4" t="s">
        <v>8</v>
      </c>
    </row>
    <row r="98" spans="1:7" ht="264" customHeight="1">
      <c r="A98" s="2">
        <v>33</v>
      </c>
      <c r="B98" s="3" t="s">
        <v>51</v>
      </c>
      <c r="C98">
        <f>IMAGE("https://raw.githubusercontent.com/stautonico/tcg-livingdex/main/images/33/1.png", 2)</f>
        <v>0</v>
      </c>
      <c r="G98" t="s">
        <v>9</v>
      </c>
    </row>
    <row r="99" spans="1:7">
      <c r="C99" s="4" t="s">
        <v>8</v>
      </c>
    </row>
    <row r="101" spans="1:7" ht="264" customHeight="1">
      <c r="A101" s="2">
        <v>34</v>
      </c>
      <c r="B101" s="3" t="s">
        <v>52</v>
      </c>
      <c r="C101">
        <f>IMAGE("https://raw.githubusercontent.com/stautonico/tcg-livingdex/main/images/34/1.png", 2)</f>
        <v>0</v>
      </c>
      <c r="G101" t="s">
        <v>9</v>
      </c>
    </row>
    <row r="102" spans="1:7">
      <c r="C102" s="4" t="s">
        <v>8</v>
      </c>
    </row>
    <row r="104" spans="1:7" ht="264" customHeight="1">
      <c r="A104" s="2">
        <v>35</v>
      </c>
      <c r="B104" s="3" t="s">
        <v>53</v>
      </c>
      <c r="C104">
        <f>IMAGE("https://raw.githubusercontent.com/stautonico/tcg-livingdex/main/images/35/1.png", 2)</f>
        <v>0</v>
      </c>
      <c r="G104" t="s">
        <v>9</v>
      </c>
    </row>
    <row r="105" spans="1:7">
      <c r="C105" s="4" t="s">
        <v>8</v>
      </c>
    </row>
    <row r="107" spans="1:7" ht="264" customHeight="1">
      <c r="A107" s="2">
        <v>36</v>
      </c>
      <c r="B107" s="3" t="s">
        <v>54</v>
      </c>
      <c r="C107">
        <f>IMAGE("https://raw.githubusercontent.com/stautonico/tcg-livingdex/main/images/36/1.png", 2)</f>
        <v>0</v>
      </c>
      <c r="G107" t="s">
        <v>9</v>
      </c>
    </row>
    <row r="108" spans="1:7">
      <c r="C108" s="4" t="s">
        <v>8</v>
      </c>
    </row>
    <row r="110" spans="1:7" ht="264" customHeight="1">
      <c r="A110" s="2">
        <v>37</v>
      </c>
      <c r="B110" s="3" t="s">
        <v>55</v>
      </c>
      <c r="C110">
        <f>IMAGE("https://raw.githubusercontent.com/stautonico/tcg-livingdex/main/images/37/1.png", 2)</f>
        <v>0</v>
      </c>
      <c r="G110" t="s">
        <v>9</v>
      </c>
    </row>
    <row r="111" spans="1:7">
      <c r="C111" s="4" t="s">
        <v>8</v>
      </c>
    </row>
    <row r="113" spans="1:7" ht="264" customHeight="1">
      <c r="A113" s="2">
        <v>38</v>
      </c>
      <c r="B113" s="3" t="s">
        <v>56</v>
      </c>
      <c r="C113">
        <f>IMAGE("https://raw.githubusercontent.com/stautonico/tcg-livingdex/main/images/38/1.png", 2)</f>
        <v>0</v>
      </c>
      <c r="G113" t="s">
        <v>9</v>
      </c>
    </row>
    <row r="114" spans="1:7">
      <c r="C114" s="4" t="s">
        <v>8</v>
      </c>
    </row>
    <row r="116" spans="1:7" ht="264" customHeight="1">
      <c r="A116" s="2">
        <v>39</v>
      </c>
      <c r="B116" s="3" t="s">
        <v>57</v>
      </c>
      <c r="C116">
        <f>IMAGE("https://raw.githubusercontent.com/stautonico/tcg-livingdex/main/images/39/1.png", 2)</f>
        <v>0</v>
      </c>
      <c r="G116" t="s">
        <v>9</v>
      </c>
    </row>
    <row r="117" spans="1:7">
      <c r="C117" s="4" t="s">
        <v>8</v>
      </c>
    </row>
    <row r="119" spans="1:7" ht="264" customHeight="1">
      <c r="A119" s="2">
        <v>40</v>
      </c>
      <c r="B119" s="3" t="s">
        <v>58</v>
      </c>
      <c r="C119">
        <f>IMAGE("https://raw.githubusercontent.com/stautonico/tcg-livingdex/main/images/40/1.png", 2)</f>
        <v>0</v>
      </c>
      <c r="G119" t="s">
        <v>9</v>
      </c>
    </row>
    <row r="120" spans="1:7">
      <c r="C120" s="4" t="s">
        <v>8</v>
      </c>
    </row>
    <row r="122" spans="1:7" ht="264" customHeight="1">
      <c r="A122" s="2">
        <v>41</v>
      </c>
      <c r="B122" s="3" t="s">
        <v>59</v>
      </c>
      <c r="C122">
        <f>IMAGE("https://raw.githubusercontent.com/stautonico/tcg-livingdex/main/images/41/1.png", 2)</f>
        <v>0</v>
      </c>
      <c r="G122" t="s">
        <v>9</v>
      </c>
    </row>
    <row r="123" spans="1:7">
      <c r="C123" s="4" t="s">
        <v>8</v>
      </c>
    </row>
    <row r="125" spans="1:7" ht="264" customHeight="1">
      <c r="A125" s="2">
        <v>42</v>
      </c>
      <c r="B125" s="3" t="s">
        <v>60</v>
      </c>
      <c r="C125">
        <f>IMAGE("https://raw.githubusercontent.com/stautonico/tcg-livingdex/main/images/42/1.png", 2)</f>
        <v>0</v>
      </c>
      <c r="G125" t="s">
        <v>9</v>
      </c>
    </row>
    <row r="126" spans="1:7">
      <c r="C126" s="4" t="s">
        <v>8</v>
      </c>
    </row>
    <row r="128" spans="1:7" ht="264" customHeight="1">
      <c r="A128" s="2">
        <v>43</v>
      </c>
      <c r="B128" s="3" t="s">
        <v>61</v>
      </c>
      <c r="C128">
        <f>IMAGE("https://raw.githubusercontent.com/stautonico/tcg-livingdex/main/images/43/1.png", 2)</f>
        <v>0</v>
      </c>
      <c r="G128" t="s">
        <v>9</v>
      </c>
    </row>
    <row r="129" spans="1:7">
      <c r="C129" s="4" t="s">
        <v>8</v>
      </c>
    </row>
    <row r="131" spans="1:7" ht="264" customHeight="1">
      <c r="A131" s="2">
        <v>44</v>
      </c>
      <c r="B131" s="3" t="s">
        <v>62</v>
      </c>
      <c r="C131">
        <f>IMAGE("https://raw.githubusercontent.com/stautonico/tcg-livingdex/main/images/44/1.png", 2)</f>
        <v>0</v>
      </c>
      <c r="G131" t="s">
        <v>9</v>
      </c>
    </row>
    <row r="132" spans="1:7">
      <c r="C132" s="4" t="s">
        <v>8</v>
      </c>
    </row>
    <row r="134" spans="1:7" ht="264" customHeight="1">
      <c r="A134" s="2">
        <v>45</v>
      </c>
      <c r="B134" s="3" t="s">
        <v>63</v>
      </c>
      <c r="C134">
        <f>IMAGE("https://raw.githubusercontent.com/stautonico/tcg-livingdex/main/images/45/1.png", 2)</f>
        <v>0</v>
      </c>
      <c r="G134" t="s">
        <v>9</v>
      </c>
    </row>
    <row r="135" spans="1:7">
      <c r="C135" s="4" t="s">
        <v>8</v>
      </c>
    </row>
    <row r="137" spans="1:7" ht="264" customHeight="1">
      <c r="A137" s="2">
        <v>46</v>
      </c>
      <c r="B137" s="3" t="s">
        <v>64</v>
      </c>
      <c r="C137">
        <f>IMAGE("https://raw.githubusercontent.com/stautonico/tcg-livingdex/main/images/46/1.png", 2)</f>
        <v>0</v>
      </c>
      <c r="G137" t="s">
        <v>9</v>
      </c>
    </row>
    <row r="138" spans="1:7">
      <c r="C138" s="4" t="s">
        <v>8</v>
      </c>
    </row>
    <row r="140" spans="1:7" ht="264" customHeight="1">
      <c r="A140" s="2">
        <v>47</v>
      </c>
      <c r="B140" s="3" t="s">
        <v>65</v>
      </c>
      <c r="C140">
        <f>IMAGE("https://raw.githubusercontent.com/stautonico/tcg-livingdex/main/images/47/1.png", 2)</f>
        <v>0</v>
      </c>
      <c r="G140" t="s">
        <v>9</v>
      </c>
    </row>
    <row r="141" spans="1:7">
      <c r="C141" s="4" t="s">
        <v>8</v>
      </c>
    </row>
    <row r="143" spans="1:7" ht="264" customHeight="1">
      <c r="A143" s="2">
        <v>48</v>
      </c>
      <c r="B143" s="3" t="s">
        <v>66</v>
      </c>
      <c r="C143">
        <f>IMAGE("https://raw.githubusercontent.com/stautonico/tcg-livingdex/main/images/48/1.png", 2)</f>
        <v>0</v>
      </c>
      <c r="G143" t="s">
        <v>9</v>
      </c>
    </row>
    <row r="144" spans="1:7">
      <c r="C144" s="4" t="s">
        <v>8</v>
      </c>
    </row>
    <row r="146" spans="1:7" ht="264" customHeight="1">
      <c r="A146" s="2">
        <v>49</v>
      </c>
      <c r="B146" s="3" t="s">
        <v>67</v>
      </c>
      <c r="C146">
        <f>IMAGE("https://raw.githubusercontent.com/stautonico/tcg-livingdex/main/images/49/1.png", 2)</f>
        <v>0</v>
      </c>
      <c r="G146" t="s">
        <v>9</v>
      </c>
    </row>
    <row r="147" spans="1:7">
      <c r="C147" s="4" t="s">
        <v>8</v>
      </c>
    </row>
    <row r="149" spans="1:7" ht="264" customHeight="1">
      <c r="A149" s="2">
        <v>50</v>
      </c>
      <c r="B149" s="3" t="s">
        <v>68</v>
      </c>
      <c r="C149">
        <f>IMAGE("https://raw.githubusercontent.com/stautonico/tcg-livingdex/main/images/50/1.png", 2)</f>
        <v>0</v>
      </c>
      <c r="G149" t="s">
        <v>9</v>
      </c>
    </row>
    <row r="150" spans="1:7">
      <c r="C150" s="4" t="s">
        <v>8</v>
      </c>
    </row>
    <row r="152" spans="1:7" ht="264" customHeight="1">
      <c r="A152" s="2">
        <v>51</v>
      </c>
      <c r="B152" s="3" t="s">
        <v>69</v>
      </c>
      <c r="C152">
        <f>IMAGE("https://raw.githubusercontent.com/stautonico/tcg-livingdex/main/images/51/1.png", 2)</f>
        <v>0</v>
      </c>
      <c r="G152" t="s">
        <v>9</v>
      </c>
    </row>
    <row r="153" spans="1:7">
      <c r="C153" s="4" t="s">
        <v>8</v>
      </c>
    </row>
    <row r="155" spans="1:7" ht="264" customHeight="1">
      <c r="A155" s="2">
        <v>52</v>
      </c>
      <c r="B155" s="3" t="s">
        <v>70</v>
      </c>
      <c r="C155">
        <f>IMAGE("https://raw.githubusercontent.com/stautonico/tcg-livingdex/main/images/52/1.png", 2)</f>
        <v>0</v>
      </c>
      <c r="G155" t="s">
        <v>9</v>
      </c>
    </row>
    <row r="156" spans="1:7">
      <c r="C156" s="4" t="s">
        <v>8</v>
      </c>
    </row>
    <row r="158" spans="1:7" ht="264" customHeight="1">
      <c r="A158" s="2">
        <v>53</v>
      </c>
      <c r="B158" s="3" t="s">
        <v>71</v>
      </c>
      <c r="C158">
        <f>IMAGE("https://raw.githubusercontent.com/stautonico/tcg-livingdex/main/images/53/1.png", 2)</f>
        <v>0</v>
      </c>
      <c r="G158" t="s">
        <v>9</v>
      </c>
    </row>
    <row r="159" spans="1:7">
      <c r="C159" s="4" t="s">
        <v>8</v>
      </c>
    </row>
    <row r="161" spans="1:7" ht="264" customHeight="1">
      <c r="A161" s="2">
        <v>54</v>
      </c>
      <c r="B161" s="3" t="s">
        <v>72</v>
      </c>
      <c r="C161">
        <f>IMAGE("https://raw.githubusercontent.com/stautonico/tcg-livingdex/main/images/54/1.png", 2)</f>
        <v>0</v>
      </c>
      <c r="G161" t="s">
        <v>9</v>
      </c>
    </row>
    <row r="162" spans="1:7">
      <c r="C162" s="4" t="s">
        <v>8</v>
      </c>
    </row>
    <row r="164" spans="1:7" ht="264" customHeight="1">
      <c r="A164" s="2">
        <v>55</v>
      </c>
      <c r="B164" s="3" t="s">
        <v>73</v>
      </c>
      <c r="C164">
        <f>IMAGE("https://raw.githubusercontent.com/stautonico/tcg-livingdex/main/images/55/1.png", 2)</f>
        <v>0</v>
      </c>
      <c r="G164" t="s">
        <v>9</v>
      </c>
    </row>
    <row r="165" spans="1:7">
      <c r="C165" s="4" t="s">
        <v>8</v>
      </c>
    </row>
    <row r="167" spans="1:7" ht="264" customHeight="1">
      <c r="A167" s="2">
        <v>56</v>
      </c>
      <c r="B167" s="3" t="s">
        <v>74</v>
      </c>
      <c r="C167">
        <f>IMAGE("https://raw.githubusercontent.com/stautonico/tcg-livingdex/main/images/56/1.png", 2)</f>
        <v>0</v>
      </c>
      <c r="G167" t="s">
        <v>9</v>
      </c>
    </row>
    <row r="168" spans="1:7">
      <c r="C168" s="4" t="s">
        <v>8</v>
      </c>
    </row>
    <row r="170" spans="1:7" ht="264" customHeight="1">
      <c r="A170" s="2">
        <v>57</v>
      </c>
      <c r="B170" s="3" t="s">
        <v>75</v>
      </c>
      <c r="C170">
        <f>IMAGE("https://raw.githubusercontent.com/stautonico/tcg-livingdex/main/images/57/1.png", 2)</f>
        <v>0</v>
      </c>
      <c r="G170" t="s">
        <v>9</v>
      </c>
    </row>
    <row r="171" spans="1:7">
      <c r="C171" s="4" t="s">
        <v>8</v>
      </c>
    </row>
    <row r="173" spans="1:7" ht="264" customHeight="1">
      <c r="A173" s="2">
        <v>58</v>
      </c>
      <c r="B173" s="3" t="s">
        <v>76</v>
      </c>
      <c r="C173">
        <f>IMAGE("https://raw.githubusercontent.com/stautonico/tcg-livingdex/main/images/58/1.png", 2)</f>
        <v>0</v>
      </c>
      <c r="G173" t="s">
        <v>9</v>
      </c>
    </row>
    <row r="174" spans="1:7">
      <c r="C174" s="4" t="s">
        <v>8</v>
      </c>
    </row>
    <row r="176" spans="1:7" ht="264" customHeight="1">
      <c r="A176" s="2">
        <v>59</v>
      </c>
      <c r="B176" s="3" t="s">
        <v>77</v>
      </c>
      <c r="C176">
        <f>IMAGE("https://raw.githubusercontent.com/stautonico/tcg-livingdex/main/images/59/1.png", 2)</f>
        <v>0</v>
      </c>
      <c r="D176">
        <f>IMAGE("https://raw.githubusercontent.com/stautonico/tcg-livingdex/main/images/59/2.png", 2)</f>
        <v>0</v>
      </c>
      <c r="G176" t="s">
        <v>9</v>
      </c>
    </row>
    <row r="177" spans="1:7">
      <c r="C177" s="4" t="s">
        <v>78</v>
      </c>
      <c r="D177" s="4" t="s">
        <v>79</v>
      </c>
    </row>
    <row r="179" spans="1:7" ht="264" customHeight="1">
      <c r="A179" s="2">
        <v>60</v>
      </c>
      <c r="B179" s="3" t="s">
        <v>80</v>
      </c>
      <c r="C179">
        <f>IMAGE("https://raw.githubusercontent.com/stautonico/tcg-livingdex/main/images/60/1.png", 2)</f>
        <v>0</v>
      </c>
      <c r="G179" t="s">
        <v>9</v>
      </c>
    </row>
    <row r="180" spans="1:7">
      <c r="C180" s="4" t="s">
        <v>8</v>
      </c>
    </row>
    <row r="182" spans="1:7" ht="264" customHeight="1">
      <c r="A182" s="2">
        <v>61</v>
      </c>
      <c r="B182" s="3" t="s">
        <v>81</v>
      </c>
      <c r="C182">
        <f>IMAGE("https://raw.githubusercontent.com/stautonico/tcg-livingdex/main/images/61/1.png", 2)</f>
        <v>0</v>
      </c>
      <c r="G182" t="s">
        <v>9</v>
      </c>
    </row>
    <row r="183" spans="1:7">
      <c r="C183" s="4" t="s">
        <v>8</v>
      </c>
    </row>
    <row r="185" spans="1:7" ht="264" customHeight="1">
      <c r="A185" s="2">
        <v>62</v>
      </c>
      <c r="B185" s="3" t="s">
        <v>82</v>
      </c>
      <c r="C185">
        <f>IMAGE("https://raw.githubusercontent.com/stautonico/tcg-livingdex/main/images/62/1.png", 2)</f>
        <v>0</v>
      </c>
      <c r="G185" t="s">
        <v>9</v>
      </c>
    </row>
    <row r="186" spans="1:7">
      <c r="C186" s="4" t="s">
        <v>8</v>
      </c>
    </row>
    <row r="188" spans="1:7" ht="264" customHeight="1">
      <c r="A188" s="2">
        <v>63</v>
      </c>
      <c r="B188" s="3" t="s">
        <v>83</v>
      </c>
      <c r="C188">
        <f>IMAGE("https://raw.githubusercontent.com/stautonico/tcg-livingdex/main/images/63/1.png", 2)</f>
        <v>0</v>
      </c>
      <c r="G188" t="s">
        <v>9</v>
      </c>
    </row>
    <row r="189" spans="1:7">
      <c r="C189" s="4" t="s">
        <v>8</v>
      </c>
    </row>
    <row r="191" spans="1:7" ht="264" customHeight="1">
      <c r="A191" s="2">
        <v>64</v>
      </c>
      <c r="B191" s="3" t="s">
        <v>84</v>
      </c>
      <c r="C191">
        <f>IMAGE("https://raw.githubusercontent.com/stautonico/tcg-livingdex/main/images/64/1.png", 2)</f>
        <v>0</v>
      </c>
      <c r="G191" t="s">
        <v>9</v>
      </c>
    </row>
    <row r="192" spans="1:7">
      <c r="C192" s="4" t="s">
        <v>8</v>
      </c>
    </row>
    <row r="194" spans="1:7" ht="264" customHeight="1">
      <c r="A194" s="2">
        <v>65</v>
      </c>
      <c r="B194" s="3" t="s">
        <v>85</v>
      </c>
      <c r="C194">
        <f>IMAGE("https://raw.githubusercontent.com/stautonico/tcg-livingdex/main/images/65/1.png", 2)</f>
        <v>0</v>
      </c>
      <c r="G194" t="s">
        <v>9</v>
      </c>
    </row>
    <row r="195" spans="1:7">
      <c r="C195" s="4" t="s">
        <v>8</v>
      </c>
    </row>
    <row r="197" spans="1:7" ht="264" customHeight="1">
      <c r="A197" s="2">
        <v>66</v>
      </c>
      <c r="B197" s="3" t="s">
        <v>86</v>
      </c>
      <c r="C197">
        <f>IMAGE("https://raw.githubusercontent.com/stautonico/tcg-livingdex/main/images/66/1.png", 2)</f>
        <v>0</v>
      </c>
      <c r="G197" t="s">
        <v>9</v>
      </c>
    </row>
    <row r="198" spans="1:7">
      <c r="C198" s="4" t="s">
        <v>8</v>
      </c>
    </row>
    <row r="200" spans="1:7" ht="264" customHeight="1">
      <c r="A200" s="2">
        <v>67</v>
      </c>
      <c r="B200" s="3" t="s">
        <v>87</v>
      </c>
      <c r="C200">
        <f>IMAGE("https://raw.githubusercontent.com/stautonico/tcg-livingdex/main/images/67/1.png", 2)</f>
        <v>0</v>
      </c>
      <c r="G200" t="s">
        <v>9</v>
      </c>
    </row>
    <row r="201" spans="1:7">
      <c r="C201" s="4" t="s">
        <v>8</v>
      </c>
    </row>
    <row r="203" spans="1:7" ht="264" customHeight="1">
      <c r="A203" s="2">
        <v>68</v>
      </c>
      <c r="B203" s="3" t="s">
        <v>88</v>
      </c>
      <c r="C203">
        <f>IMAGE("https://raw.githubusercontent.com/stautonico/tcg-livingdex/main/images/68/1.png", 2)</f>
        <v>0</v>
      </c>
      <c r="G203" t="s">
        <v>9</v>
      </c>
    </row>
    <row r="204" spans="1:7">
      <c r="C204" s="4" t="s">
        <v>8</v>
      </c>
    </row>
    <row r="206" spans="1:7" ht="264" customHeight="1">
      <c r="A206" s="2">
        <v>69</v>
      </c>
      <c r="B206" s="3" t="s">
        <v>89</v>
      </c>
      <c r="C206">
        <f>IMAGE("https://raw.githubusercontent.com/stautonico/tcg-livingdex/main/images/69/1.png", 2)</f>
        <v>0</v>
      </c>
      <c r="D206">
        <f>IMAGE("https://raw.githubusercontent.com/stautonico/tcg-livingdex/main/images/69/2.png", 2)</f>
        <v>0</v>
      </c>
      <c r="E206">
        <f>IMAGE("https://raw.githubusercontent.com/stautonico/tcg-livingdex/main/images/69/3.png", 2)</f>
        <v>0</v>
      </c>
      <c r="F206">
        <f>IMAGE("https://raw.githubusercontent.com/stautonico/tcg-livingdex/main/images/69/4.png", 2)</f>
        <v>0</v>
      </c>
      <c r="G206" t="s">
        <v>9</v>
      </c>
    </row>
    <row r="207" spans="1:7">
      <c r="C207" s="4" t="s">
        <v>90</v>
      </c>
      <c r="D207" s="4" t="s">
        <v>91</v>
      </c>
      <c r="E207" s="4" t="s">
        <v>92</v>
      </c>
      <c r="F207" s="4" t="s">
        <v>93</v>
      </c>
    </row>
    <row r="209" spans="1:7" ht="264" customHeight="1">
      <c r="A209" s="2">
        <v>70</v>
      </c>
      <c r="B209" s="3" t="s">
        <v>94</v>
      </c>
      <c r="C209">
        <f>IMAGE("https://raw.githubusercontent.com/stautonico/tcg-livingdex/main/images/70/1.png", 2)</f>
        <v>0</v>
      </c>
      <c r="G209" t="s">
        <v>9</v>
      </c>
    </row>
    <row r="210" spans="1:7">
      <c r="C210" s="4" t="s">
        <v>8</v>
      </c>
    </row>
    <row r="212" spans="1:7" ht="264" customHeight="1">
      <c r="A212" s="2">
        <v>71</v>
      </c>
      <c r="B212" s="3" t="s">
        <v>95</v>
      </c>
      <c r="C212">
        <f>IMAGE("https://raw.githubusercontent.com/stautonico/tcg-livingdex/main/images/71/1.png", 2)</f>
        <v>0</v>
      </c>
      <c r="G212" t="s">
        <v>9</v>
      </c>
    </row>
    <row r="213" spans="1:7">
      <c r="C213" s="4" t="s">
        <v>8</v>
      </c>
    </row>
    <row r="215" spans="1:7" ht="264" customHeight="1">
      <c r="A215" s="2">
        <v>72</v>
      </c>
      <c r="B215" s="3" t="s">
        <v>96</v>
      </c>
      <c r="C215">
        <f>IMAGE("https://raw.githubusercontent.com/stautonico/tcg-livingdex/main/images/72/1.png", 2)</f>
        <v>0</v>
      </c>
      <c r="G215" t="s">
        <v>9</v>
      </c>
    </row>
    <row r="216" spans="1:7">
      <c r="C216" s="4" t="s">
        <v>8</v>
      </c>
    </row>
    <row r="218" spans="1:7" ht="264" customHeight="1">
      <c r="A218" s="2">
        <v>73</v>
      </c>
      <c r="B218" s="3" t="s">
        <v>97</v>
      </c>
      <c r="C218">
        <f>IMAGE("https://raw.githubusercontent.com/stautonico/tcg-livingdex/main/images/73/1.png", 2)</f>
        <v>0</v>
      </c>
      <c r="G218" t="s">
        <v>9</v>
      </c>
    </row>
    <row r="219" spans="1:7">
      <c r="C219" s="4" t="s">
        <v>8</v>
      </c>
    </row>
    <row r="221" spans="1:7" ht="264" customHeight="1">
      <c r="A221" s="2">
        <v>74</v>
      </c>
      <c r="B221" s="3" t="s">
        <v>98</v>
      </c>
      <c r="C221">
        <f>IMAGE("https://raw.githubusercontent.com/stautonico/tcg-livingdex/main/images/74/1.png", 2)</f>
        <v>0</v>
      </c>
      <c r="G221" t="s">
        <v>9</v>
      </c>
    </row>
    <row r="222" spans="1:7">
      <c r="C222" s="4" t="s">
        <v>8</v>
      </c>
    </row>
    <row r="224" spans="1:7" ht="264" customHeight="1">
      <c r="A224" s="2">
        <v>75</v>
      </c>
      <c r="B224" s="3" t="s">
        <v>99</v>
      </c>
      <c r="C224">
        <f>IMAGE("https://raw.githubusercontent.com/stautonico/tcg-livingdex/main/images/75/1.png", 2)</f>
        <v>0</v>
      </c>
      <c r="G224" t="s">
        <v>9</v>
      </c>
    </row>
    <row r="225" spans="1:7">
      <c r="C225" s="4" t="s">
        <v>8</v>
      </c>
    </row>
    <row r="227" spans="1:7" ht="264" customHeight="1">
      <c r="A227" s="2">
        <v>76</v>
      </c>
      <c r="B227" s="3" t="s">
        <v>100</v>
      </c>
      <c r="C227">
        <f>IMAGE("https://raw.githubusercontent.com/stautonico/tcg-livingdex/main/images/76/1.png", 2)</f>
        <v>0</v>
      </c>
      <c r="G227" t="s">
        <v>9</v>
      </c>
    </row>
    <row r="228" spans="1:7">
      <c r="C228" s="4" t="s">
        <v>8</v>
      </c>
    </row>
    <row r="230" spans="1:7" ht="264" customHeight="1">
      <c r="A230" s="2">
        <v>77</v>
      </c>
      <c r="B230" s="3" t="s">
        <v>101</v>
      </c>
      <c r="C230">
        <f>IMAGE("https://raw.githubusercontent.com/stautonico/tcg-livingdex/main/images/77/1.png", 2)</f>
        <v>0</v>
      </c>
      <c r="G230" t="s">
        <v>9</v>
      </c>
    </row>
    <row r="231" spans="1:7">
      <c r="C231" s="4" t="s">
        <v>8</v>
      </c>
    </row>
    <row r="233" spans="1:7" ht="264" customHeight="1">
      <c r="A233" s="2">
        <v>78</v>
      </c>
      <c r="B233" s="3" t="s">
        <v>102</v>
      </c>
      <c r="C233">
        <f>IMAGE("https://raw.githubusercontent.com/stautonico/tcg-livingdex/main/images/78/1.png", 2)</f>
        <v>0</v>
      </c>
      <c r="D233">
        <f>IMAGE("https://raw.githubusercontent.com/stautonico/tcg-livingdex/main/images/78/2.png", 2)</f>
        <v>0</v>
      </c>
      <c r="E233">
        <f>IMAGE("https://raw.githubusercontent.com/stautonico/tcg-livingdex/main/images/78/3.png", 2)</f>
        <v>0</v>
      </c>
      <c r="F233">
        <f>IMAGE("https://raw.githubusercontent.com/stautonico/tcg-livingdex/main/images/78/4.png", 2)</f>
        <v>0</v>
      </c>
      <c r="G233" t="s">
        <v>9</v>
      </c>
    </row>
    <row r="234" spans="1:7">
      <c r="C234" s="4" t="s">
        <v>103</v>
      </c>
      <c r="D234" s="4" t="s">
        <v>104</v>
      </c>
      <c r="E234" s="4" t="s">
        <v>105</v>
      </c>
      <c r="F234" s="4" t="s">
        <v>106</v>
      </c>
    </row>
    <row r="236" spans="1:7" ht="264" customHeight="1">
      <c r="A236" s="2">
        <v>79</v>
      </c>
      <c r="B236" s="3" t="s">
        <v>107</v>
      </c>
      <c r="C236">
        <f>IMAGE("https://raw.githubusercontent.com/stautonico/tcg-livingdex/main/images/79/1.png", 2)</f>
        <v>0</v>
      </c>
      <c r="G236" t="s">
        <v>9</v>
      </c>
    </row>
    <row r="237" spans="1:7">
      <c r="C237" s="4" t="s">
        <v>8</v>
      </c>
    </row>
    <row r="239" spans="1:7" ht="264" customHeight="1">
      <c r="A239" s="2">
        <v>80</v>
      </c>
      <c r="B239" s="3" t="s">
        <v>108</v>
      </c>
      <c r="C239">
        <f>IMAGE("https://raw.githubusercontent.com/stautonico/tcg-livingdex/main/images/80/1.png", 2)</f>
        <v>0</v>
      </c>
      <c r="G239" t="s">
        <v>9</v>
      </c>
    </row>
    <row r="240" spans="1:7">
      <c r="C240" s="4" t="s">
        <v>8</v>
      </c>
    </row>
    <row r="242" spans="1:7" ht="264" customHeight="1">
      <c r="A242" s="2">
        <v>81</v>
      </c>
      <c r="B242" s="3" t="s">
        <v>109</v>
      </c>
      <c r="C242">
        <f>IMAGE("https://raw.githubusercontent.com/stautonico/tcg-livingdex/main/images/81/1.png", 2)</f>
        <v>0</v>
      </c>
      <c r="G242" t="s">
        <v>9</v>
      </c>
    </row>
    <row r="243" spans="1:7">
      <c r="C243" s="4" t="s">
        <v>8</v>
      </c>
    </row>
    <row r="245" spans="1:7" ht="264" customHeight="1">
      <c r="A245" s="2">
        <v>82</v>
      </c>
      <c r="B245" s="3" t="s">
        <v>110</v>
      </c>
      <c r="C245">
        <f>IMAGE("https://raw.githubusercontent.com/stautonico/tcg-livingdex/main/images/82/1.png", 2)</f>
        <v>0</v>
      </c>
      <c r="G245" t="s">
        <v>9</v>
      </c>
    </row>
    <row r="246" spans="1:7">
      <c r="C246" s="4" t="s">
        <v>8</v>
      </c>
    </row>
    <row r="248" spans="1:7" ht="264" customHeight="1">
      <c r="A248" s="2">
        <v>83</v>
      </c>
      <c r="B248" s="3" t="s">
        <v>111</v>
      </c>
      <c r="C248">
        <f>IMAGE("https://raw.githubusercontent.com/stautonico/tcg-livingdex/main/images/83/1.png", 2)</f>
        <v>0</v>
      </c>
      <c r="G248" t="s">
        <v>9</v>
      </c>
    </row>
    <row r="249" spans="1:7">
      <c r="C249" s="4" t="s">
        <v>8</v>
      </c>
    </row>
    <row r="251" spans="1:7" ht="264" customHeight="1">
      <c r="A251" s="2">
        <v>84</v>
      </c>
      <c r="B251" s="3" t="s">
        <v>112</v>
      </c>
      <c r="C251">
        <f>IMAGE("https://raw.githubusercontent.com/stautonico/tcg-livingdex/main/images/84/1.png", 2)</f>
        <v>0</v>
      </c>
      <c r="G251" t="s">
        <v>9</v>
      </c>
    </row>
    <row r="252" spans="1:7">
      <c r="C252" s="4" t="s">
        <v>8</v>
      </c>
    </row>
    <row r="254" spans="1:7" ht="264" customHeight="1">
      <c r="A254" s="2">
        <v>85</v>
      </c>
      <c r="B254" s="3" t="s">
        <v>113</v>
      </c>
      <c r="C254">
        <f>IMAGE("https://raw.githubusercontent.com/stautonico/tcg-livingdex/main/images/85/1.png", 2)</f>
        <v>0</v>
      </c>
      <c r="G254" t="s">
        <v>9</v>
      </c>
    </row>
    <row r="255" spans="1:7">
      <c r="C255" s="4" t="s">
        <v>8</v>
      </c>
    </row>
    <row r="257" spans="1:7" ht="264" customHeight="1">
      <c r="A257" s="2">
        <v>86</v>
      </c>
      <c r="B257" s="3" t="s">
        <v>114</v>
      </c>
      <c r="C257">
        <f>IMAGE("https://raw.githubusercontent.com/stautonico/tcg-livingdex/main/images/86/1.png", 2)</f>
        <v>0</v>
      </c>
      <c r="G257" t="s">
        <v>9</v>
      </c>
    </row>
    <row r="258" spans="1:7">
      <c r="C258" s="4" t="s">
        <v>8</v>
      </c>
    </row>
    <row r="260" spans="1:7" ht="264" customHeight="1">
      <c r="A260" s="2">
        <v>87</v>
      </c>
      <c r="B260" s="3" t="s">
        <v>115</v>
      </c>
      <c r="C260">
        <f>IMAGE("https://raw.githubusercontent.com/stautonico/tcg-livingdex/main/images/87/1.png", 2)</f>
        <v>0</v>
      </c>
      <c r="G260" t="s">
        <v>9</v>
      </c>
    </row>
    <row r="261" spans="1:7">
      <c r="C261" s="4" t="s">
        <v>8</v>
      </c>
    </row>
    <row r="263" spans="1:7" ht="264" customHeight="1">
      <c r="A263" s="2">
        <v>88</v>
      </c>
      <c r="B263" s="3" t="s">
        <v>116</v>
      </c>
      <c r="C263">
        <f>IMAGE("https://raw.githubusercontent.com/stautonico/tcg-livingdex/main/images/88/1.png", 2)</f>
        <v>0</v>
      </c>
      <c r="G263" t="s">
        <v>9</v>
      </c>
    </row>
    <row r="264" spans="1:7">
      <c r="C264" s="4" t="s">
        <v>8</v>
      </c>
    </row>
    <row r="266" spans="1:7" ht="264" customHeight="1">
      <c r="A266" s="2">
        <v>89</v>
      </c>
      <c r="B266" s="3" t="s">
        <v>117</v>
      </c>
      <c r="C266">
        <f>IMAGE("https://raw.githubusercontent.com/stautonico/tcg-livingdex/main/images/89/1.png", 2)</f>
        <v>0</v>
      </c>
      <c r="G266" t="s">
        <v>9</v>
      </c>
    </row>
    <row r="267" spans="1:7">
      <c r="C267" s="4" t="s">
        <v>8</v>
      </c>
    </row>
    <row r="269" spans="1:7" ht="264" customHeight="1">
      <c r="A269" s="2">
        <v>90</v>
      </c>
      <c r="B269" s="3" t="s">
        <v>118</v>
      </c>
      <c r="C269">
        <f>IMAGE("https://raw.githubusercontent.com/stautonico/tcg-livingdex/main/images/90/1.png", 2)</f>
        <v>0</v>
      </c>
      <c r="G269" t="s">
        <v>9</v>
      </c>
    </row>
    <row r="270" spans="1:7">
      <c r="C270" s="4" t="s">
        <v>8</v>
      </c>
    </row>
    <row r="272" spans="1:7" ht="264" customHeight="1">
      <c r="A272" s="2">
        <v>91</v>
      </c>
      <c r="B272" s="3" t="s">
        <v>119</v>
      </c>
      <c r="C272">
        <f>IMAGE("https://raw.githubusercontent.com/stautonico/tcg-livingdex/main/images/91/1.png", 2)</f>
        <v>0</v>
      </c>
      <c r="G272" t="s">
        <v>9</v>
      </c>
    </row>
    <row r="273" spans="1:7">
      <c r="C273" s="4" t="s">
        <v>8</v>
      </c>
    </row>
    <row r="275" spans="1:7" ht="264" customHeight="1">
      <c r="A275" s="2">
        <v>92</v>
      </c>
      <c r="B275" s="3" t="s">
        <v>120</v>
      </c>
      <c r="C275">
        <f>IMAGE("https://raw.githubusercontent.com/stautonico/tcg-livingdex/main/images/92/1.png", 2)</f>
        <v>0</v>
      </c>
      <c r="G275" t="s">
        <v>9</v>
      </c>
    </row>
    <row r="276" spans="1:7">
      <c r="C276" s="4" t="s">
        <v>8</v>
      </c>
    </row>
    <row r="278" spans="1:7" ht="264" customHeight="1">
      <c r="A278" s="2">
        <v>93</v>
      </c>
      <c r="B278" s="3" t="s">
        <v>121</v>
      </c>
      <c r="C278">
        <f>IMAGE("https://raw.githubusercontent.com/stautonico/tcg-livingdex/main/images/93/1.png", 2)</f>
        <v>0</v>
      </c>
      <c r="G278" t="s">
        <v>9</v>
      </c>
    </row>
    <row r="279" spans="1:7">
      <c r="C279" s="4" t="s">
        <v>8</v>
      </c>
    </row>
    <row r="281" spans="1:7" ht="264" customHeight="1">
      <c r="A281" s="2">
        <v>94</v>
      </c>
      <c r="B281" s="3" t="s">
        <v>122</v>
      </c>
      <c r="C281">
        <f>IMAGE("https://raw.githubusercontent.com/stautonico/tcg-livingdex/main/images/94/1.png", 2)</f>
        <v>0</v>
      </c>
      <c r="G281" t="s">
        <v>9</v>
      </c>
    </row>
    <row r="282" spans="1:7">
      <c r="C282" s="4" t="s">
        <v>8</v>
      </c>
    </row>
    <row r="284" spans="1:7" ht="264" customHeight="1">
      <c r="A284" s="2">
        <v>95</v>
      </c>
      <c r="B284" s="3" t="s">
        <v>123</v>
      </c>
      <c r="C284">
        <f>IMAGE("https://raw.githubusercontent.com/stautonico/tcg-livingdex/main/images/95/1.png", 2)</f>
        <v>0</v>
      </c>
      <c r="G284" t="s">
        <v>9</v>
      </c>
    </row>
    <row r="285" spans="1:7">
      <c r="C285" s="4" t="s">
        <v>8</v>
      </c>
    </row>
    <row r="287" spans="1:7" ht="264" customHeight="1">
      <c r="A287" s="2">
        <v>96</v>
      </c>
      <c r="B287" s="3" t="s">
        <v>124</v>
      </c>
      <c r="C287">
        <f>IMAGE("https://raw.githubusercontent.com/stautonico/tcg-livingdex/main/images/96/1.png", 2)</f>
        <v>0</v>
      </c>
      <c r="G287" t="s">
        <v>9</v>
      </c>
    </row>
    <row r="288" spans="1:7">
      <c r="C288" s="4" t="s">
        <v>8</v>
      </c>
    </row>
    <row r="290" spans="1:7" ht="264" customHeight="1">
      <c r="A290" s="2">
        <v>97</v>
      </c>
      <c r="B290" s="3" t="s">
        <v>125</v>
      </c>
      <c r="C290">
        <f>IMAGE("https://raw.githubusercontent.com/stautonico/tcg-livingdex/main/images/97/1.png", 2)</f>
        <v>0</v>
      </c>
      <c r="G290" t="s">
        <v>9</v>
      </c>
    </row>
    <row r="291" spans="1:7">
      <c r="C291" s="4" t="s">
        <v>8</v>
      </c>
    </row>
    <row r="293" spans="1:7" ht="264" customHeight="1">
      <c r="A293" s="2">
        <v>98</v>
      </c>
      <c r="B293" s="3" t="s">
        <v>126</v>
      </c>
      <c r="C293">
        <f>IMAGE("https://raw.githubusercontent.com/stautonico/tcg-livingdex/main/images/98/1.png", 2)</f>
        <v>0</v>
      </c>
      <c r="G293" t="s">
        <v>9</v>
      </c>
    </row>
    <row r="294" spans="1:7">
      <c r="C294" s="4" t="s">
        <v>8</v>
      </c>
    </row>
    <row r="296" spans="1:7" ht="264" customHeight="1">
      <c r="A296" s="2">
        <v>99</v>
      </c>
      <c r="B296" s="3" t="s">
        <v>127</v>
      </c>
      <c r="C296">
        <f>IMAGE("https://raw.githubusercontent.com/stautonico/tcg-livingdex/main/images/99/1.png", 2)</f>
        <v>0</v>
      </c>
      <c r="G296" t="s">
        <v>9</v>
      </c>
    </row>
    <row r="297" spans="1:7">
      <c r="C297" s="4" t="s">
        <v>8</v>
      </c>
    </row>
    <row r="299" spans="1:7" ht="264" customHeight="1">
      <c r="A299" s="2">
        <v>100</v>
      </c>
      <c r="B299" s="3" t="s">
        <v>128</v>
      </c>
      <c r="C299">
        <f>IMAGE("https://raw.githubusercontent.com/stautonico/tcg-livingdex/main/images/100/1.png", 2)</f>
        <v>0</v>
      </c>
      <c r="D299">
        <f>IMAGE("https://raw.githubusercontent.com/stautonico/tcg-livingdex/main/images/100/2.png", 2)</f>
        <v>0</v>
      </c>
      <c r="E299">
        <f>IMAGE("https://raw.githubusercontent.com/stautonico/tcg-livingdex/main/images/100/3.png", 2)</f>
        <v>0</v>
      </c>
      <c r="F299">
        <f>IMAGE("https://raw.githubusercontent.com/stautonico/tcg-livingdex/main/images/100/4.png", 2)</f>
        <v>0</v>
      </c>
      <c r="G299" t="s">
        <v>9</v>
      </c>
    </row>
    <row r="300" spans="1:7">
      <c r="C300" s="4" t="s">
        <v>129</v>
      </c>
      <c r="D300" s="4" t="s">
        <v>130</v>
      </c>
      <c r="E300" s="4" t="s">
        <v>131</v>
      </c>
      <c r="F300" s="4" t="s">
        <v>132</v>
      </c>
    </row>
    <row r="302" spans="1:7" ht="264" customHeight="1">
      <c r="A302" s="2">
        <v>101</v>
      </c>
      <c r="B302" s="3" t="s">
        <v>133</v>
      </c>
      <c r="C302">
        <f>IMAGE("https://raw.githubusercontent.com/stautonico/tcg-livingdex/main/images/101/1.png", 2)</f>
        <v>0</v>
      </c>
      <c r="G302" t="s">
        <v>9</v>
      </c>
    </row>
    <row r="303" spans="1:7">
      <c r="C303" s="4" t="s">
        <v>8</v>
      </c>
    </row>
    <row r="305" spans="1:7" ht="264" customHeight="1">
      <c r="A305" s="2">
        <v>102</v>
      </c>
      <c r="B305" s="3" t="s">
        <v>134</v>
      </c>
      <c r="C305">
        <f>IMAGE("https://raw.githubusercontent.com/stautonico/tcg-livingdex/main/images/102/1.png", 2)</f>
        <v>0</v>
      </c>
      <c r="G305" t="s">
        <v>9</v>
      </c>
    </row>
    <row r="306" spans="1:7">
      <c r="C306" s="4" t="s">
        <v>8</v>
      </c>
    </row>
    <row r="308" spans="1:7" ht="264" customHeight="1">
      <c r="A308" s="2">
        <v>103</v>
      </c>
      <c r="B308" s="3" t="s">
        <v>135</v>
      </c>
      <c r="C308">
        <f>IMAGE("https://raw.githubusercontent.com/stautonico/tcg-livingdex/main/images/103/1.png", 2)</f>
        <v>0</v>
      </c>
      <c r="G308" t="s">
        <v>9</v>
      </c>
    </row>
    <row r="309" spans="1:7">
      <c r="C309" s="4" t="s">
        <v>8</v>
      </c>
    </row>
    <row r="311" spans="1:7" ht="264" customHeight="1">
      <c r="A311" s="2">
        <v>104</v>
      </c>
      <c r="B311" s="3" t="s">
        <v>136</v>
      </c>
      <c r="C311">
        <f>IMAGE("https://raw.githubusercontent.com/stautonico/tcg-livingdex/main/images/104/1.png", 2)</f>
        <v>0</v>
      </c>
      <c r="G311" t="s">
        <v>9</v>
      </c>
    </row>
    <row r="312" spans="1:7">
      <c r="C312" s="4" t="s">
        <v>8</v>
      </c>
    </row>
    <row r="314" spans="1:7" ht="264" customHeight="1">
      <c r="A314" s="2">
        <v>105</v>
      </c>
      <c r="B314" s="3" t="s">
        <v>137</v>
      </c>
      <c r="C314">
        <f>IMAGE("https://raw.githubusercontent.com/stautonico/tcg-livingdex/main/images/105/1.png", 2)</f>
        <v>0</v>
      </c>
      <c r="G314" t="s">
        <v>9</v>
      </c>
    </row>
    <row r="315" spans="1:7">
      <c r="C315" s="4" t="s">
        <v>8</v>
      </c>
    </row>
    <row r="317" spans="1:7" ht="264" customHeight="1">
      <c r="A317" s="2">
        <v>106</v>
      </c>
      <c r="B317" s="3" t="s">
        <v>138</v>
      </c>
      <c r="C317">
        <f>IMAGE("https://raw.githubusercontent.com/stautonico/tcg-livingdex/main/images/106/1.png", 2)</f>
        <v>0</v>
      </c>
      <c r="G317" t="s">
        <v>9</v>
      </c>
    </row>
    <row r="318" spans="1:7">
      <c r="C318" s="4" t="s">
        <v>8</v>
      </c>
    </row>
    <row r="320" spans="1:7" ht="264" customHeight="1">
      <c r="A320" s="2">
        <v>107</v>
      </c>
      <c r="B320" s="3" t="s">
        <v>139</v>
      </c>
      <c r="C320">
        <f>IMAGE("https://raw.githubusercontent.com/stautonico/tcg-livingdex/main/images/107/1.png", 2)</f>
        <v>0</v>
      </c>
      <c r="G320" t="s">
        <v>9</v>
      </c>
    </row>
    <row r="321" spans="1:7">
      <c r="C321" s="4" t="s">
        <v>8</v>
      </c>
    </row>
    <row r="323" spans="1:7" ht="264" customHeight="1">
      <c r="A323" s="2">
        <v>108</v>
      </c>
      <c r="B323" s="3" t="s">
        <v>140</v>
      </c>
      <c r="C323">
        <f>IMAGE("https://raw.githubusercontent.com/stautonico/tcg-livingdex/main/images/108/1.png", 2)</f>
        <v>0</v>
      </c>
      <c r="D323">
        <f>IMAGE("https://raw.githubusercontent.com/stautonico/tcg-livingdex/main/images/108/2.png", 2)</f>
        <v>0</v>
      </c>
      <c r="G323" t="s">
        <v>9</v>
      </c>
    </row>
    <row r="324" spans="1:7">
      <c r="C324" s="4" t="s">
        <v>141</v>
      </c>
      <c r="D324" s="4" t="s">
        <v>142</v>
      </c>
    </row>
    <row r="326" spans="1:7" ht="264" customHeight="1">
      <c r="A326" s="2">
        <v>109</v>
      </c>
      <c r="B326" s="3" t="s">
        <v>143</v>
      </c>
      <c r="C326">
        <f>IMAGE("https://raw.githubusercontent.com/stautonico/tcg-livingdex/main/images/109/1.png", 2)</f>
        <v>0</v>
      </c>
      <c r="G326" t="s">
        <v>9</v>
      </c>
    </row>
    <row r="327" spans="1:7">
      <c r="C327" s="4" t="s">
        <v>8</v>
      </c>
    </row>
    <row r="329" spans="1:7" ht="264" customHeight="1">
      <c r="A329" s="2">
        <v>110</v>
      </c>
      <c r="B329" s="3" t="s">
        <v>144</v>
      </c>
      <c r="C329">
        <f>IMAGE("https://raw.githubusercontent.com/stautonico/tcg-livingdex/main/images/110/1.png", 2)</f>
        <v>0</v>
      </c>
      <c r="G329" t="s">
        <v>9</v>
      </c>
    </row>
    <row r="330" spans="1:7">
      <c r="C330" s="4" t="s">
        <v>8</v>
      </c>
    </row>
    <row r="332" spans="1:7" ht="264" customHeight="1">
      <c r="A332" s="2">
        <v>111</v>
      </c>
      <c r="B332" s="3" t="s">
        <v>145</v>
      </c>
      <c r="C332">
        <f>IMAGE("https://raw.githubusercontent.com/stautonico/tcg-livingdex/main/images/111/1.png", 2)</f>
        <v>0</v>
      </c>
      <c r="G332" t="s">
        <v>9</v>
      </c>
    </row>
    <row r="333" spans="1:7">
      <c r="C333" s="4" t="s">
        <v>8</v>
      </c>
    </row>
    <row r="335" spans="1:7" ht="264" customHeight="1">
      <c r="A335" s="2">
        <v>112</v>
      </c>
      <c r="B335" s="3" t="s">
        <v>146</v>
      </c>
      <c r="C335">
        <f>IMAGE("https://raw.githubusercontent.com/stautonico/tcg-livingdex/main/images/112/1.png", 2)</f>
        <v>0</v>
      </c>
      <c r="G335" t="s">
        <v>9</v>
      </c>
    </row>
    <row r="336" spans="1:7">
      <c r="C336" s="4" t="s">
        <v>8</v>
      </c>
    </row>
    <row r="338" spans="1:7" ht="264" customHeight="1">
      <c r="A338" s="2">
        <v>113</v>
      </c>
      <c r="B338" s="3" t="s">
        <v>147</v>
      </c>
      <c r="C338">
        <f>IMAGE("https://raw.githubusercontent.com/stautonico/tcg-livingdex/main/images/113/1.png", 2)</f>
        <v>0</v>
      </c>
      <c r="G338" t="s">
        <v>9</v>
      </c>
    </row>
    <row r="339" spans="1:7">
      <c r="C339" s="4" t="s">
        <v>8</v>
      </c>
    </row>
    <row r="341" spans="1:7" ht="264" customHeight="1">
      <c r="A341" s="2">
        <v>114</v>
      </c>
      <c r="B341" s="3" t="s">
        <v>148</v>
      </c>
      <c r="C341">
        <f>IMAGE("https://raw.githubusercontent.com/stautonico/tcg-livingdex/main/images/114/1.png", 2)</f>
        <v>0</v>
      </c>
      <c r="G341" t="s">
        <v>9</v>
      </c>
    </row>
    <row r="342" spans="1:7">
      <c r="C342" s="4" t="s">
        <v>8</v>
      </c>
    </row>
    <row r="344" spans="1:7" ht="264" customHeight="1">
      <c r="A344" s="2">
        <v>115</v>
      </c>
      <c r="B344" s="3" t="s">
        <v>149</v>
      </c>
      <c r="C344">
        <f>IMAGE("https://raw.githubusercontent.com/stautonico/tcg-livingdex/main/images/115/1.png", 2)</f>
        <v>0</v>
      </c>
      <c r="G344" t="s">
        <v>9</v>
      </c>
    </row>
    <row r="345" spans="1:7">
      <c r="C345" s="4" t="s">
        <v>8</v>
      </c>
    </row>
    <row r="347" spans="1:7" ht="264" customHeight="1">
      <c r="A347" s="2">
        <v>116</v>
      </c>
      <c r="B347" s="3" t="s">
        <v>150</v>
      </c>
      <c r="C347">
        <f>IMAGE("https://raw.githubusercontent.com/stautonico/tcg-livingdex/main/images/116/1.png", 2)</f>
        <v>0</v>
      </c>
      <c r="G347" t="s">
        <v>9</v>
      </c>
    </row>
    <row r="348" spans="1:7">
      <c r="C348" s="4" t="s">
        <v>8</v>
      </c>
    </row>
    <row r="350" spans="1:7" ht="264" customHeight="1">
      <c r="A350" s="2">
        <v>117</v>
      </c>
      <c r="B350" s="3" t="s">
        <v>151</v>
      </c>
      <c r="C350">
        <f>IMAGE("https://raw.githubusercontent.com/stautonico/tcg-livingdex/main/images/117/1.png", 2)</f>
        <v>0</v>
      </c>
      <c r="G350" t="s">
        <v>9</v>
      </c>
    </row>
    <row r="351" spans="1:7">
      <c r="C351" s="4" t="s">
        <v>8</v>
      </c>
    </row>
    <row r="353" spans="1:7" ht="264" customHeight="1">
      <c r="A353" s="2">
        <v>118</v>
      </c>
      <c r="B353" s="3" t="s">
        <v>152</v>
      </c>
      <c r="C353">
        <f>IMAGE("https://raw.githubusercontent.com/stautonico/tcg-livingdex/main/images/118/1.png", 2)</f>
        <v>0</v>
      </c>
      <c r="G353" t="s">
        <v>9</v>
      </c>
    </row>
    <row r="354" spans="1:7">
      <c r="C354" s="4" t="s">
        <v>8</v>
      </c>
    </row>
    <row r="356" spans="1:7" ht="264" customHeight="1">
      <c r="A356" s="2">
        <v>119</v>
      </c>
      <c r="B356" s="3" t="s">
        <v>153</v>
      </c>
      <c r="C356">
        <f>IMAGE("https://raw.githubusercontent.com/stautonico/tcg-livingdex/main/images/119/1.png", 2)</f>
        <v>0</v>
      </c>
      <c r="G356" t="s">
        <v>9</v>
      </c>
    </row>
    <row r="357" spans="1:7">
      <c r="C357" s="4" t="s">
        <v>8</v>
      </c>
    </row>
    <row r="359" spans="1:7" ht="264" customHeight="1">
      <c r="A359" s="2">
        <v>120</v>
      </c>
      <c r="B359" s="3" t="s">
        <v>154</v>
      </c>
      <c r="C359">
        <f>IMAGE("https://raw.githubusercontent.com/stautonico/tcg-livingdex/main/images/120/1.png", 2)</f>
        <v>0</v>
      </c>
      <c r="G359" t="s">
        <v>9</v>
      </c>
    </row>
    <row r="360" spans="1:7">
      <c r="C360" s="4" t="s">
        <v>8</v>
      </c>
    </row>
    <row r="362" spans="1:7" ht="264" customHeight="1">
      <c r="A362" s="2">
        <v>121</v>
      </c>
      <c r="B362" s="3" t="s">
        <v>155</v>
      </c>
      <c r="C362">
        <f>IMAGE("https://raw.githubusercontent.com/stautonico/tcg-livingdex/main/images/121/1.png", 2)</f>
        <v>0</v>
      </c>
      <c r="D362">
        <f>IMAGE("https://raw.githubusercontent.com/stautonico/tcg-livingdex/main/images/121/2.png", 2)</f>
        <v>0</v>
      </c>
      <c r="E362">
        <f>IMAGE("https://raw.githubusercontent.com/stautonico/tcg-livingdex/main/images/121/3.png", 2)</f>
        <v>0</v>
      </c>
      <c r="F362">
        <f>IMAGE("https://raw.githubusercontent.com/stautonico/tcg-livingdex/main/images/121/4.png", 2)</f>
        <v>0</v>
      </c>
      <c r="G362" t="s">
        <v>9</v>
      </c>
    </row>
    <row r="363" spans="1:7">
      <c r="C363" s="4" t="s">
        <v>156</v>
      </c>
      <c r="D363" s="4" t="s">
        <v>157</v>
      </c>
      <c r="E363" s="4" t="s">
        <v>158</v>
      </c>
      <c r="F363" s="4" t="s">
        <v>159</v>
      </c>
    </row>
    <row r="365" spans="1:7" ht="264" customHeight="1">
      <c r="A365" s="2">
        <v>122</v>
      </c>
      <c r="B365" s="3" t="s">
        <v>160</v>
      </c>
      <c r="C365">
        <f>IMAGE("https://raw.githubusercontent.com/stautonico/tcg-livingdex/main/images/122/1.png", 2)</f>
        <v>0</v>
      </c>
      <c r="G365" t="s">
        <v>9</v>
      </c>
    </row>
    <row r="366" spans="1:7">
      <c r="C366" s="4" t="s">
        <v>8</v>
      </c>
    </row>
    <row r="368" spans="1:7" ht="264" customHeight="1">
      <c r="A368" s="2">
        <v>123</v>
      </c>
      <c r="B368" s="3" t="s">
        <v>161</v>
      </c>
      <c r="C368">
        <f>IMAGE("https://raw.githubusercontent.com/stautonico/tcg-livingdex/main/images/123/1.png", 2)</f>
        <v>0</v>
      </c>
      <c r="G368" t="s">
        <v>9</v>
      </c>
    </row>
    <row r="369" spans="1:7">
      <c r="C369" s="4" t="s">
        <v>8</v>
      </c>
    </row>
    <row r="371" spans="1:7" ht="264" customHeight="1">
      <c r="A371" s="2">
        <v>124</v>
      </c>
      <c r="B371" s="3" t="s">
        <v>162</v>
      </c>
      <c r="C371">
        <f>IMAGE("https://raw.githubusercontent.com/stautonico/tcg-livingdex/main/images/124/1.png", 2)</f>
        <v>0</v>
      </c>
      <c r="G371" t="s">
        <v>9</v>
      </c>
    </row>
    <row r="372" spans="1:7">
      <c r="C372" s="4" t="s">
        <v>8</v>
      </c>
    </row>
    <row r="374" spans="1:7" ht="264" customHeight="1">
      <c r="A374" s="2">
        <v>125</v>
      </c>
      <c r="B374" s="3" t="s">
        <v>163</v>
      </c>
      <c r="C374">
        <f>IMAGE("https://raw.githubusercontent.com/stautonico/tcg-livingdex/main/images/125/1.png", 2)</f>
        <v>0</v>
      </c>
      <c r="G374" t="s">
        <v>9</v>
      </c>
    </row>
    <row r="375" spans="1:7">
      <c r="C375" s="4" t="s">
        <v>8</v>
      </c>
    </row>
    <row r="377" spans="1:7" ht="264" customHeight="1">
      <c r="A377" s="2">
        <v>126</v>
      </c>
      <c r="B377" s="3" t="s">
        <v>164</v>
      </c>
      <c r="C377">
        <f>IMAGE("https://raw.githubusercontent.com/stautonico/tcg-livingdex/main/images/126/1.png", 2)</f>
        <v>0</v>
      </c>
      <c r="G377" t="s">
        <v>9</v>
      </c>
    </row>
    <row r="378" spans="1:7">
      <c r="C378" s="4" t="s">
        <v>8</v>
      </c>
    </row>
    <row r="380" spans="1:7" ht="264" customHeight="1">
      <c r="A380" s="2">
        <v>127</v>
      </c>
      <c r="B380" s="3" t="s">
        <v>165</v>
      </c>
      <c r="C380">
        <f>IMAGE("https://raw.githubusercontent.com/stautonico/tcg-livingdex/main/images/127/1.png", 2)</f>
        <v>0</v>
      </c>
      <c r="G380" t="s">
        <v>9</v>
      </c>
    </row>
    <row r="381" spans="1:7">
      <c r="C381" s="4" t="s">
        <v>166</v>
      </c>
    </row>
    <row r="383" spans="1:7" ht="264" customHeight="1">
      <c r="A383" s="2">
        <v>128</v>
      </c>
      <c r="B383" s="3" t="s">
        <v>167</v>
      </c>
      <c r="C383">
        <f>IMAGE("https://raw.githubusercontent.com/stautonico/tcg-livingdex/main/images/128/1.png", 2)</f>
        <v>0</v>
      </c>
      <c r="G383" t="s">
        <v>9</v>
      </c>
    </row>
    <row r="384" spans="1:7">
      <c r="C384" s="4" t="s">
        <v>8</v>
      </c>
    </row>
    <row r="386" spans="1:7" ht="264" customHeight="1">
      <c r="A386" s="2">
        <v>129</v>
      </c>
      <c r="B386" s="3" t="s">
        <v>168</v>
      </c>
      <c r="C386">
        <f>IMAGE("https://raw.githubusercontent.com/stautonico/tcg-livingdex/main/images/129/1.png", 2)</f>
        <v>0</v>
      </c>
      <c r="G386" t="s">
        <v>9</v>
      </c>
    </row>
    <row r="387" spans="1:7">
      <c r="C387" s="4" t="s">
        <v>8</v>
      </c>
    </row>
    <row r="389" spans="1:7" ht="264" customHeight="1">
      <c r="A389" s="2">
        <v>130</v>
      </c>
      <c r="B389" s="3" t="s">
        <v>169</v>
      </c>
      <c r="C389">
        <f>IMAGE("https://raw.githubusercontent.com/stautonico/tcg-livingdex/main/images/130/1.png", 2)</f>
        <v>0</v>
      </c>
      <c r="D389">
        <f>IMAGE("https://raw.githubusercontent.com/stautonico/tcg-livingdex/main/images/130/2.png", 2)</f>
        <v>0</v>
      </c>
      <c r="E389">
        <f>IMAGE("https://raw.githubusercontent.com/stautonico/tcg-livingdex/main/images/130/3.png", 2)</f>
        <v>0</v>
      </c>
      <c r="F389">
        <f>IMAGE("https://raw.githubusercontent.com/stautonico/tcg-livingdex/main/images/130/4.png", 2)</f>
        <v>0</v>
      </c>
      <c r="G389" t="s">
        <v>9</v>
      </c>
    </row>
    <row r="390" spans="1:7">
      <c r="C390" s="4" t="s">
        <v>170</v>
      </c>
      <c r="D390" s="4" t="s">
        <v>171</v>
      </c>
      <c r="E390" s="4" t="s">
        <v>172</v>
      </c>
      <c r="F390" s="4" t="s">
        <v>173</v>
      </c>
    </row>
    <row r="392" spans="1:7" ht="264" customHeight="1">
      <c r="A392" s="2">
        <v>131</v>
      </c>
      <c r="B392" s="3" t="s">
        <v>174</v>
      </c>
      <c r="C392">
        <f>IMAGE("https://raw.githubusercontent.com/stautonico/tcg-livingdex/main/images/131/1.png", 2)</f>
        <v>0</v>
      </c>
      <c r="G392" t="s">
        <v>9</v>
      </c>
    </row>
    <row r="393" spans="1:7">
      <c r="C393" s="4" t="s">
        <v>8</v>
      </c>
    </row>
    <row r="395" spans="1:7" ht="264" customHeight="1">
      <c r="A395" s="2">
        <v>132</v>
      </c>
      <c r="B395" s="3" t="s">
        <v>175</v>
      </c>
      <c r="C395">
        <f>IMAGE("https://raw.githubusercontent.com/stautonico/tcg-livingdex/main/images/132/1.png", 2)</f>
        <v>0</v>
      </c>
      <c r="G395" t="s">
        <v>9</v>
      </c>
    </row>
    <row r="396" spans="1:7">
      <c r="C396" s="4" t="s">
        <v>8</v>
      </c>
    </row>
    <row r="398" spans="1:7" ht="264" customHeight="1">
      <c r="A398" s="2">
        <v>133</v>
      </c>
      <c r="B398" s="3" t="s">
        <v>176</v>
      </c>
      <c r="C398">
        <f>IMAGE("https://raw.githubusercontent.com/stautonico/tcg-livingdex/main/images/133/1.png", 2)</f>
        <v>0</v>
      </c>
      <c r="G398" t="s">
        <v>9</v>
      </c>
    </row>
    <row r="399" spans="1:7">
      <c r="C399" s="4" t="s">
        <v>8</v>
      </c>
    </row>
    <row r="401" spans="1:7" ht="264" customHeight="1">
      <c r="A401" s="2">
        <v>134</v>
      </c>
      <c r="B401" s="3" t="s">
        <v>177</v>
      </c>
      <c r="C401">
        <f>IMAGE("https://raw.githubusercontent.com/stautonico/tcg-livingdex/main/images/134/1.png", 2)</f>
        <v>0</v>
      </c>
      <c r="D401">
        <f>IMAGE("https://raw.githubusercontent.com/stautonico/tcg-livingdex/main/images/134/2.png", 2)</f>
        <v>0</v>
      </c>
      <c r="E401">
        <f>IMAGE("https://raw.githubusercontent.com/stautonico/tcg-livingdex/main/images/134/3.png", 2)</f>
        <v>0</v>
      </c>
      <c r="F401">
        <f>IMAGE("https://raw.githubusercontent.com/stautonico/tcg-livingdex/main/images/134/4.png", 2)</f>
        <v>0</v>
      </c>
      <c r="G401" t="s">
        <v>9</v>
      </c>
    </row>
    <row r="402" spans="1:7">
      <c r="C402" s="4" t="s">
        <v>178</v>
      </c>
      <c r="D402" s="4" t="s">
        <v>179</v>
      </c>
      <c r="E402" s="4" t="s">
        <v>180</v>
      </c>
      <c r="F402" s="4" t="s">
        <v>181</v>
      </c>
    </row>
    <row r="404" spans="1:7" ht="264" customHeight="1">
      <c r="A404" s="2">
        <v>135</v>
      </c>
      <c r="B404" s="3" t="s">
        <v>182</v>
      </c>
      <c r="C404">
        <f>IMAGE("https://raw.githubusercontent.com/stautonico/tcg-livingdex/main/images/135/1.png", 2)</f>
        <v>0</v>
      </c>
      <c r="G404" t="s">
        <v>9</v>
      </c>
    </row>
    <row r="405" spans="1:7">
      <c r="C405" s="4" t="s">
        <v>8</v>
      </c>
    </row>
    <row r="407" spans="1:7" ht="264" customHeight="1">
      <c r="A407" s="2">
        <v>136</v>
      </c>
      <c r="B407" s="3" t="s">
        <v>183</v>
      </c>
      <c r="C407">
        <f>IMAGE("https://raw.githubusercontent.com/stautonico/tcg-livingdex/main/images/136/1.png", 2)</f>
        <v>0</v>
      </c>
      <c r="G407" t="s">
        <v>9</v>
      </c>
    </row>
    <row r="408" spans="1:7">
      <c r="C408" s="4" t="s">
        <v>8</v>
      </c>
    </row>
    <row r="410" spans="1:7" ht="264" customHeight="1">
      <c r="A410" s="2">
        <v>137</v>
      </c>
      <c r="B410" s="3" t="s">
        <v>184</v>
      </c>
      <c r="C410">
        <f>IMAGE("https://raw.githubusercontent.com/stautonico/tcg-livingdex/main/images/137/1.png", 2)</f>
        <v>0</v>
      </c>
      <c r="G410" t="s">
        <v>9</v>
      </c>
    </row>
    <row r="411" spans="1:7">
      <c r="C411" s="4" t="s">
        <v>8</v>
      </c>
    </row>
    <row r="413" spans="1:7" ht="264" customHeight="1">
      <c r="A413" s="2">
        <v>138</v>
      </c>
      <c r="B413" s="3" t="s">
        <v>185</v>
      </c>
      <c r="C413">
        <f>IMAGE("https://raw.githubusercontent.com/stautonico/tcg-livingdex/main/images/138/1.png", 2)</f>
        <v>0</v>
      </c>
      <c r="G413" t="s">
        <v>9</v>
      </c>
    </row>
    <row r="414" spans="1:7">
      <c r="C414" s="4" t="s">
        <v>8</v>
      </c>
    </row>
    <row r="416" spans="1:7" ht="264" customHeight="1">
      <c r="A416" s="2">
        <v>139</v>
      </c>
      <c r="B416" s="3" t="s">
        <v>186</v>
      </c>
      <c r="C416">
        <f>IMAGE("https://raw.githubusercontent.com/stautonico/tcg-livingdex/main/images/139/1.png", 2)</f>
        <v>0</v>
      </c>
      <c r="G416" t="s">
        <v>9</v>
      </c>
    </row>
    <row r="417" spans="1:7">
      <c r="C417" s="4" t="s">
        <v>8</v>
      </c>
    </row>
    <row r="419" spans="1:7" ht="264" customHeight="1">
      <c r="A419" s="2">
        <v>140</v>
      </c>
      <c r="B419" s="3" t="s">
        <v>187</v>
      </c>
      <c r="C419">
        <f>IMAGE("https://raw.githubusercontent.com/stautonico/tcg-livingdex/main/images/140/1.png", 2)</f>
        <v>0</v>
      </c>
      <c r="G419" t="s">
        <v>9</v>
      </c>
    </row>
    <row r="420" spans="1:7">
      <c r="C420" s="4" t="s">
        <v>8</v>
      </c>
    </row>
    <row r="422" spans="1:7" ht="264" customHeight="1">
      <c r="A422" s="2">
        <v>141</v>
      </c>
      <c r="B422" s="3" t="s">
        <v>188</v>
      </c>
      <c r="C422">
        <f>IMAGE("https://raw.githubusercontent.com/stautonico/tcg-livingdex/main/images/141/1.png", 2)</f>
        <v>0</v>
      </c>
      <c r="G422" t="s">
        <v>9</v>
      </c>
    </row>
    <row r="423" spans="1:7">
      <c r="C423" s="4" t="s">
        <v>8</v>
      </c>
    </row>
    <row r="425" spans="1:7" ht="264" customHeight="1">
      <c r="A425" s="2">
        <v>142</v>
      </c>
      <c r="B425" s="3" t="s">
        <v>189</v>
      </c>
      <c r="C425">
        <f>IMAGE("https://raw.githubusercontent.com/stautonico/tcg-livingdex/main/images/142/1.png", 2)</f>
        <v>0</v>
      </c>
      <c r="G425" t="s">
        <v>9</v>
      </c>
    </row>
    <row r="426" spans="1:7">
      <c r="C426" s="4" t="s">
        <v>8</v>
      </c>
    </row>
    <row r="428" spans="1:7" ht="264" customHeight="1">
      <c r="A428" s="2">
        <v>143</v>
      </c>
      <c r="B428" s="3" t="s">
        <v>190</v>
      </c>
      <c r="C428">
        <f>IMAGE("https://raw.githubusercontent.com/stautonico/tcg-livingdex/main/images/143/1.png", 2)</f>
        <v>0</v>
      </c>
      <c r="D428">
        <f>IMAGE("https://raw.githubusercontent.com/stautonico/tcg-livingdex/main/images/143/2.png", 2)</f>
        <v>0</v>
      </c>
      <c r="E428">
        <f>IMAGE("https://raw.githubusercontent.com/stautonico/tcg-livingdex/main/images/143/3.png", 2)</f>
        <v>0</v>
      </c>
      <c r="G428" t="s">
        <v>9</v>
      </c>
    </row>
    <row r="429" spans="1:7">
      <c r="C429" s="4" t="s">
        <v>191</v>
      </c>
      <c r="D429" s="4" t="s">
        <v>192</v>
      </c>
      <c r="E429" s="4" t="s">
        <v>193</v>
      </c>
    </row>
    <row r="431" spans="1:7" ht="264" customHeight="1">
      <c r="A431" s="2">
        <v>144</v>
      </c>
      <c r="B431" s="3" t="s">
        <v>194</v>
      </c>
      <c r="C431">
        <f>IMAGE("https://raw.githubusercontent.com/stautonico/tcg-livingdex/main/images/144/1.png", 2)</f>
        <v>0</v>
      </c>
      <c r="G431" t="s">
        <v>9</v>
      </c>
    </row>
    <row r="432" spans="1:7">
      <c r="C432" s="4" t="s">
        <v>8</v>
      </c>
    </row>
    <row r="434" spans="1:7" ht="264" customHeight="1">
      <c r="A434" s="2">
        <v>145</v>
      </c>
      <c r="B434" s="3" t="s">
        <v>195</v>
      </c>
      <c r="C434">
        <f>IMAGE("https://raw.githubusercontent.com/stautonico/tcg-livingdex/main/images/145/1.png", 2)</f>
        <v>0</v>
      </c>
      <c r="D434">
        <f>IMAGE("https://raw.githubusercontent.com/stautonico/tcg-livingdex/main/images/145/2.png", 2)</f>
        <v>0</v>
      </c>
      <c r="E434">
        <f>IMAGE("https://raw.githubusercontent.com/stautonico/tcg-livingdex/main/images/145/3.png", 2)</f>
        <v>0</v>
      </c>
      <c r="F434">
        <f>IMAGE("https://raw.githubusercontent.com/stautonico/tcg-livingdex/main/images/145/4.png", 2)</f>
        <v>0</v>
      </c>
      <c r="G434" t="s">
        <v>9</v>
      </c>
    </row>
    <row r="435" spans="1:7">
      <c r="C435" s="4" t="s">
        <v>196</v>
      </c>
      <c r="D435" s="4" t="s">
        <v>197</v>
      </c>
      <c r="E435" s="4" t="s">
        <v>198</v>
      </c>
      <c r="F435" s="4" t="s">
        <v>199</v>
      </c>
    </row>
    <row r="437" spans="1:7" ht="264" customHeight="1">
      <c r="A437" s="2">
        <v>146</v>
      </c>
      <c r="B437" s="3" t="s">
        <v>200</v>
      </c>
      <c r="C437">
        <f>IMAGE("https://raw.githubusercontent.com/stautonico/tcg-livingdex/main/images/146/1.png", 2)</f>
        <v>0</v>
      </c>
      <c r="G437" t="s">
        <v>9</v>
      </c>
    </row>
    <row r="438" spans="1:7">
      <c r="C438" s="4" t="s">
        <v>8</v>
      </c>
    </row>
    <row r="440" spans="1:7" ht="264" customHeight="1">
      <c r="A440" s="2">
        <v>147</v>
      </c>
      <c r="B440" s="3" t="s">
        <v>201</v>
      </c>
      <c r="C440">
        <f>IMAGE("https://raw.githubusercontent.com/stautonico/tcg-livingdex/main/images/147/1.png", 2)</f>
        <v>0</v>
      </c>
      <c r="G440" t="s">
        <v>9</v>
      </c>
    </row>
    <row r="441" spans="1:7">
      <c r="C441" s="4" t="s">
        <v>8</v>
      </c>
    </row>
    <row r="443" spans="1:7" ht="264" customHeight="1">
      <c r="A443" s="2">
        <v>148</v>
      </c>
      <c r="B443" s="3" t="s">
        <v>202</v>
      </c>
      <c r="C443">
        <f>IMAGE("https://raw.githubusercontent.com/stautonico/tcg-livingdex/main/images/148/1.png", 2)</f>
        <v>0</v>
      </c>
      <c r="G443" t="s">
        <v>9</v>
      </c>
    </row>
    <row r="444" spans="1:7">
      <c r="C444" s="4" t="s">
        <v>8</v>
      </c>
    </row>
    <row r="446" spans="1:7" ht="264" customHeight="1">
      <c r="A446" s="2">
        <v>149</v>
      </c>
      <c r="B446" s="3" t="s">
        <v>203</v>
      </c>
      <c r="C446">
        <f>IMAGE("https://raw.githubusercontent.com/stautonico/tcg-livingdex/main/images/149/1.png", 2)</f>
        <v>0</v>
      </c>
      <c r="G446" t="s">
        <v>9</v>
      </c>
    </row>
    <row r="447" spans="1:7">
      <c r="C447" s="4" t="s">
        <v>8</v>
      </c>
    </row>
    <row r="449" spans="1:7" ht="264" customHeight="1">
      <c r="A449" s="2">
        <v>150</v>
      </c>
      <c r="B449" s="3" t="s">
        <v>204</v>
      </c>
      <c r="C449">
        <f>IMAGE("https://raw.githubusercontent.com/stautonico/tcg-livingdex/main/images/150/1.png", 2)</f>
        <v>0</v>
      </c>
      <c r="G449" t="s">
        <v>9</v>
      </c>
    </row>
    <row r="450" spans="1:7">
      <c r="C450" s="4" t="s">
        <v>8</v>
      </c>
    </row>
    <row r="452" spans="1:7" ht="264" customHeight="1">
      <c r="A452" s="2">
        <v>151</v>
      </c>
      <c r="B452" s="3" t="s">
        <v>205</v>
      </c>
      <c r="C452">
        <f>IMAGE("https://raw.githubusercontent.com/stautonico/tcg-livingdex/main/images/151/1.png", 2)</f>
        <v>0</v>
      </c>
      <c r="G452" t="s">
        <v>9</v>
      </c>
    </row>
    <row r="453" spans="1:7">
      <c r="C453" s="4" t="s">
        <v>8</v>
      </c>
    </row>
    <row r="455" spans="1:7" ht="264" customHeight="1">
      <c r="A455" s="2">
        <v>152</v>
      </c>
      <c r="B455" s="3" t="s">
        <v>206</v>
      </c>
      <c r="C455">
        <f>IMAGE("https://raw.githubusercontent.com/stautonico/tcg-livingdex/main/images/152/1.png", 2)</f>
        <v>0</v>
      </c>
      <c r="G455" t="s">
        <v>9</v>
      </c>
    </row>
    <row r="456" spans="1:7">
      <c r="C456" s="4" t="s">
        <v>8</v>
      </c>
    </row>
    <row r="458" spans="1:7" ht="264" customHeight="1">
      <c r="A458" s="2">
        <v>153</v>
      </c>
      <c r="B458" s="3" t="s">
        <v>207</v>
      </c>
      <c r="C458">
        <f>IMAGE("https://raw.githubusercontent.com/stautonico/tcg-livingdex/main/images/153/1.png", 2)</f>
        <v>0</v>
      </c>
      <c r="G458" t="s">
        <v>9</v>
      </c>
    </row>
    <row r="459" spans="1:7">
      <c r="C459" s="4" t="s">
        <v>8</v>
      </c>
    </row>
    <row r="461" spans="1:7" ht="264" customHeight="1">
      <c r="A461" s="2">
        <v>154</v>
      </c>
      <c r="B461" s="3" t="s">
        <v>208</v>
      </c>
      <c r="C461">
        <f>IMAGE("https://raw.githubusercontent.com/stautonico/tcg-livingdex/main/images/154/1.png", 2)</f>
        <v>0</v>
      </c>
      <c r="G461" t="s">
        <v>9</v>
      </c>
    </row>
    <row r="462" spans="1:7">
      <c r="C462" s="4" t="s">
        <v>8</v>
      </c>
    </row>
    <row r="464" spans="1:7" ht="264" customHeight="1">
      <c r="A464" s="2">
        <v>155</v>
      </c>
      <c r="B464" s="3" t="s">
        <v>209</v>
      </c>
      <c r="C464">
        <f>IMAGE("https://raw.githubusercontent.com/stautonico/tcg-livingdex/main/images/155/1.png", 2)</f>
        <v>0</v>
      </c>
      <c r="G464" t="s">
        <v>9</v>
      </c>
    </row>
    <row r="465" spans="1:7">
      <c r="C465" s="4" t="s">
        <v>8</v>
      </c>
    </row>
    <row r="467" spans="1:7" ht="264" customHeight="1">
      <c r="A467" s="2">
        <v>156</v>
      </c>
      <c r="B467" s="3" t="s">
        <v>210</v>
      </c>
      <c r="C467">
        <f>IMAGE("https://raw.githubusercontent.com/stautonico/tcg-livingdex/main/images/156/1.png", 2)</f>
        <v>0</v>
      </c>
      <c r="G467" t="s">
        <v>9</v>
      </c>
    </row>
    <row r="468" spans="1:7">
      <c r="C468" s="4" t="s">
        <v>8</v>
      </c>
    </row>
    <row r="470" spans="1:7" ht="264" customHeight="1">
      <c r="A470" s="2">
        <v>157</v>
      </c>
      <c r="B470" s="3" t="s">
        <v>211</v>
      </c>
      <c r="C470">
        <f>IMAGE("https://raw.githubusercontent.com/stautonico/tcg-livingdex/main/images/157/1.png", 2)</f>
        <v>0</v>
      </c>
      <c r="D470">
        <f>IMAGE("https://raw.githubusercontent.com/stautonico/tcg-livingdex/main/images/157/2.png", 2)</f>
        <v>0</v>
      </c>
      <c r="E470">
        <f>IMAGE("https://raw.githubusercontent.com/stautonico/tcg-livingdex/main/images/157/3.png", 2)</f>
        <v>0</v>
      </c>
      <c r="F470">
        <f>IMAGE("https://raw.githubusercontent.com/stautonico/tcg-livingdex/main/images/157/4.png", 2)</f>
        <v>0</v>
      </c>
      <c r="G470" t="s">
        <v>9</v>
      </c>
    </row>
    <row r="471" spans="1:7">
      <c r="C471" s="4" t="s">
        <v>212</v>
      </c>
      <c r="D471" s="4" t="s">
        <v>213</v>
      </c>
      <c r="E471" s="4" t="s">
        <v>214</v>
      </c>
      <c r="F471" s="4" t="s">
        <v>215</v>
      </c>
    </row>
    <row r="473" spans="1:7" ht="264" customHeight="1">
      <c r="A473" s="2">
        <v>158</v>
      </c>
      <c r="B473" s="3" t="s">
        <v>216</v>
      </c>
      <c r="C473">
        <f>IMAGE("https://raw.githubusercontent.com/stautonico/tcg-livingdex/main/images/158/1.png", 2)</f>
        <v>0</v>
      </c>
      <c r="G473" t="s">
        <v>9</v>
      </c>
    </row>
    <row r="474" spans="1:7">
      <c r="C474" s="4" t="s">
        <v>8</v>
      </c>
    </row>
    <row r="476" spans="1:7" ht="264" customHeight="1">
      <c r="A476" s="2">
        <v>159</v>
      </c>
      <c r="B476" s="3" t="s">
        <v>217</v>
      </c>
      <c r="C476">
        <f>IMAGE("https://raw.githubusercontent.com/stautonico/tcg-livingdex/main/images/159/1.png", 2)</f>
        <v>0</v>
      </c>
      <c r="G476" t="s">
        <v>9</v>
      </c>
    </row>
    <row r="477" spans="1:7">
      <c r="C477" s="4" t="s">
        <v>8</v>
      </c>
    </row>
    <row r="479" spans="1:7" ht="264" customHeight="1">
      <c r="A479" s="2">
        <v>160</v>
      </c>
      <c r="B479" s="3" t="s">
        <v>218</v>
      </c>
      <c r="C479">
        <f>IMAGE("https://raw.githubusercontent.com/stautonico/tcg-livingdex/main/images/160/1.png", 2)</f>
        <v>0</v>
      </c>
      <c r="G479" t="s">
        <v>9</v>
      </c>
    </row>
    <row r="480" spans="1:7">
      <c r="C480" s="4" t="s">
        <v>8</v>
      </c>
    </row>
    <row r="482" spans="1:7" ht="264" customHeight="1">
      <c r="A482" s="2">
        <v>161</v>
      </c>
      <c r="B482" s="3" t="s">
        <v>219</v>
      </c>
      <c r="C482">
        <f>IMAGE("https://raw.githubusercontent.com/stautonico/tcg-livingdex/main/images/161/1.png", 2)</f>
        <v>0</v>
      </c>
      <c r="G482" t="s">
        <v>9</v>
      </c>
    </row>
    <row r="483" spans="1:7">
      <c r="C483" s="4" t="s">
        <v>8</v>
      </c>
    </row>
    <row r="485" spans="1:7" ht="264" customHeight="1">
      <c r="A485" s="2">
        <v>162</v>
      </c>
      <c r="B485" s="3" t="s">
        <v>220</v>
      </c>
      <c r="C485">
        <f>IMAGE("https://raw.githubusercontent.com/stautonico/tcg-livingdex/main/images/162/1.png", 2)</f>
        <v>0</v>
      </c>
      <c r="D485">
        <f>IMAGE("https://raw.githubusercontent.com/stautonico/tcg-livingdex/main/images/162/2.png", 2)</f>
        <v>0</v>
      </c>
      <c r="E485">
        <f>IMAGE("https://raw.githubusercontent.com/stautonico/tcg-livingdex/main/images/162/3.png", 2)</f>
        <v>0</v>
      </c>
      <c r="F485">
        <f>IMAGE("https://raw.githubusercontent.com/stautonico/tcg-livingdex/main/images/162/4.png", 2)</f>
        <v>0</v>
      </c>
      <c r="G485" t="s">
        <v>9</v>
      </c>
    </row>
    <row r="486" spans="1:7">
      <c r="C486" s="4" t="s">
        <v>221</v>
      </c>
      <c r="D486" s="4" t="s">
        <v>222</v>
      </c>
      <c r="E486" s="4" t="s">
        <v>223</v>
      </c>
      <c r="F486" s="4" t="s">
        <v>224</v>
      </c>
    </row>
    <row r="488" spans="1:7" ht="264" customHeight="1">
      <c r="A488" s="2">
        <v>163</v>
      </c>
      <c r="B488" s="3" t="s">
        <v>225</v>
      </c>
      <c r="C488">
        <f>IMAGE("https://raw.githubusercontent.com/stautonico/tcg-livingdex/main/images/163/1.png", 2)</f>
        <v>0</v>
      </c>
      <c r="G488" t="s">
        <v>9</v>
      </c>
    </row>
    <row r="489" spans="1:7">
      <c r="C489" s="4" t="s">
        <v>8</v>
      </c>
    </row>
    <row r="491" spans="1:7" ht="264" customHeight="1">
      <c r="A491" s="2">
        <v>164</v>
      </c>
      <c r="B491" s="3" t="s">
        <v>226</v>
      </c>
      <c r="C491">
        <f>IMAGE("https://raw.githubusercontent.com/stautonico/tcg-livingdex/main/images/164/1.png", 2)</f>
        <v>0</v>
      </c>
      <c r="G491" t="s">
        <v>9</v>
      </c>
    </row>
    <row r="492" spans="1:7">
      <c r="C492" s="4" t="s">
        <v>8</v>
      </c>
    </row>
    <row r="494" spans="1:7" ht="264" customHeight="1">
      <c r="A494" s="2">
        <v>165</v>
      </c>
      <c r="B494" s="3" t="s">
        <v>227</v>
      </c>
      <c r="C494">
        <f>IMAGE("https://raw.githubusercontent.com/stautonico/tcg-livingdex/main/images/165/1.png", 2)</f>
        <v>0</v>
      </c>
      <c r="G494" t="s">
        <v>9</v>
      </c>
    </row>
    <row r="495" spans="1:7">
      <c r="C495" s="4" t="s">
        <v>8</v>
      </c>
    </row>
    <row r="497" spans="1:7" ht="264" customHeight="1">
      <c r="A497" s="2">
        <v>166</v>
      </c>
      <c r="B497" s="3" t="s">
        <v>228</v>
      </c>
      <c r="C497">
        <f>IMAGE("https://raw.githubusercontent.com/stautonico/tcg-livingdex/main/images/166/1.png", 2)</f>
        <v>0</v>
      </c>
      <c r="G497" t="s">
        <v>9</v>
      </c>
    </row>
    <row r="498" spans="1:7">
      <c r="C498" s="4" t="s">
        <v>8</v>
      </c>
    </row>
    <row r="500" spans="1:7" ht="264" customHeight="1">
      <c r="A500" s="2">
        <v>167</v>
      </c>
      <c r="B500" s="3" t="s">
        <v>229</v>
      </c>
      <c r="C500">
        <f>IMAGE("https://raw.githubusercontent.com/stautonico/tcg-livingdex/main/images/167/1.png", 2)</f>
        <v>0</v>
      </c>
      <c r="G500" t="s">
        <v>9</v>
      </c>
    </row>
    <row r="501" spans="1:7">
      <c r="C501" s="4" t="s">
        <v>8</v>
      </c>
    </row>
    <row r="503" spans="1:7" ht="264" customHeight="1">
      <c r="A503" s="2">
        <v>168</v>
      </c>
      <c r="B503" s="3" t="s">
        <v>230</v>
      </c>
      <c r="C503">
        <f>IMAGE("https://raw.githubusercontent.com/stautonico/tcg-livingdex/main/images/168/1.png", 2)</f>
        <v>0</v>
      </c>
      <c r="G503" t="s">
        <v>9</v>
      </c>
    </row>
    <row r="504" spans="1:7">
      <c r="C504" s="4" t="s">
        <v>8</v>
      </c>
    </row>
    <row r="506" spans="1:7" ht="264" customHeight="1">
      <c r="A506" s="2">
        <v>169</v>
      </c>
      <c r="B506" s="3" t="s">
        <v>231</v>
      </c>
      <c r="C506">
        <f>IMAGE("https://raw.githubusercontent.com/stautonico/tcg-livingdex/main/images/169/1.png", 2)</f>
        <v>0</v>
      </c>
      <c r="G506" t="s">
        <v>9</v>
      </c>
    </row>
    <row r="507" spans="1:7">
      <c r="C507" s="4" t="s">
        <v>8</v>
      </c>
    </row>
    <row r="509" spans="1:7" ht="264" customHeight="1">
      <c r="A509" s="2">
        <v>170</v>
      </c>
      <c r="B509" s="3" t="s">
        <v>232</v>
      </c>
      <c r="C509">
        <f>IMAGE("https://raw.githubusercontent.com/stautonico/tcg-livingdex/main/images/170/1.png", 2)</f>
        <v>0</v>
      </c>
      <c r="G509" t="s">
        <v>9</v>
      </c>
    </row>
    <row r="510" spans="1:7">
      <c r="C510" s="4" t="s">
        <v>8</v>
      </c>
    </row>
    <row r="512" spans="1:7" ht="264" customHeight="1">
      <c r="A512" s="2">
        <v>171</v>
      </c>
      <c r="B512" s="3" t="s">
        <v>233</v>
      </c>
      <c r="C512">
        <f>IMAGE("https://raw.githubusercontent.com/stautonico/tcg-livingdex/main/images/171/1.png", 2)</f>
        <v>0</v>
      </c>
      <c r="G512" t="s">
        <v>9</v>
      </c>
    </row>
    <row r="513" spans="1:7">
      <c r="C513" s="4" t="s">
        <v>8</v>
      </c>
    </row>
    <row r="515" spans="1:7" ht="264" customHeight="1">
      <c r="A515" s="2">
        <v>172</v>
      </c>
      <c r="B515" s="3" t="s">
        <v>234</v>
      </c>
      <c r="C515">
        <f>IMAGE("https://raw.githubusercontent.com/stautonico/tcg-livingdex/main/images/172/1.png", 2)</f>
        <v>0</v>
      </c>
      <c r="G515" t="s">
        <v>9</v>
      </c>
    </row>
    <row r="516" spans="1:7">
      <c r="C516" s="4" t="s">
        <v>8</v>
      </c>
    </row>
    <row r="518" spans="1:7" ht="264" customHeight="1">
      <c r="A518" s="2">
        <v>173</v>
      </c>
      <c r="B518" s="3" t="s">
        <v>235</v>
      </c>
      <c r="C518">
        <f>IMAGE("https://raw.githubusercontent.com/stautonico/tcg-livingdex/main/images/173/1.png", 2)</f>
        <v>0</v>
      </c>
      <c r="G518" t="s">
        <v>9</v>
      </c>
    </row>
    <row r="519" spans="1:7">
      <c r="C519" s="4" t="s">
        <v>8</v>
      </c>
    </row>
    <row r="521" spans="1:7" ht="264" customHeight="1">
      <c r="A521" s="2">
        <v>174</v>
      </c>
      <c r="B521" s="3" t="s">
        <v>236</v>
      </c>
      <c r="C521">
        <f>IMAGE("https://raw.githubusercontent.com/stautonico/tcg-livingdex/main/images/174/1.png", 2)</f>
        <v>0</v>
      </c>
      <c r="D521">
        <f>IMAGE("https://raw.githubusercontent.com/stautonico/tcg-livingdex/main/images/174/2.png", 2)</f>
        <v>0</v>
      </c>
      <c r="E521">
        <f>IMAGE("https://raw.githubusercontent.com/stautonico/tcg-livingdex/main/images/174/3.png", 2)</f>
        <v>0</v>
      </c>
      <c r="F521">
        <f>IMAGE("https://raw.githubusercontent.com/stautonico/tcg-livingdex/main/images/174/4.png", 2)</f>
        <v>0</v>
      </c>
      <c r="G521" t="s">
        <v>9</v>
      </c>
    </row>
    <row r="522" spans="1:7">
      <c r="C522" s="4" t="s">
        <v>237</v>
      </c>
      <c r="D522" s="4" t="s">
        <v>238</v>
      </c>
      <c r="E522" s="4" t="s">
        <v>239</v>
      </c>
      <c r="F522" s="4" t="s">
        <v>240</v>
      </c>
    </row>
    <row r="524" spans="1:7" ht="264" customHeight="1">
      <c r="A524" s="2">
        <v>175</v>
      </c>
      <c r="B524" s="3" t="s">
        <v>241</v>
      </c>
      <c r="C524">
        <f>IMAGE("https://raw.githubusercontent.com/stautonico/tcg-livingdex/main/images/175/1.png", 2)</f>
        <v>0</v>
      </c>
      <c r="G524" t="s">
        <v>9</v>
      </c>
    </row>
    <row r="525" spans="1:7">
      <c r="C525" s="4" t="s">
        <v>8</v>
      </c>
    </row>
    <row r="527" spans="1:7" ht="264" customHeight="1">
      <c r="A527" s="2">
        <v>176</v>
      </c>
      <c r="B527" s="3" t="s">
        <v>242</v>
      </c>
      <c r="C527">
        <f>IMAGE("https://raw.githubusercontent.com/stautonico/tcg-livingdex/main/images/176/1.png", 2)</f>
        <v>0</v>
      </c>
      <c r="G527" t="s">
        <v>9</v>
      </c>
    </row>
    <row r="528" spans="1:7">
      <c r="C528" s="4" t="s">
        <v>8</v>
      </c>
    </row>
    <row r="530" spans="1:7" ht="264" customHeight="1">
      <c r="A530" s="2">
        <v>177</v>
      </c>
      <c r="B530" s="3" t="s">
        <v>243</v>
      </c>
      <c r="C530">
        <f>IMAGE("https://raw.githubusercontent.com/stautonico/tcg-livingdex/main/images/177/1.png", 2)</f>
        <v>0</v>
      </c>
      <c r="G530" t="s">
        <v>9</v>
      </c>
    </row>
    <row r="531" spans="1:7">
      <c r="C531" s="4" t="s">
        <v>8</v>
      </c>
    </row>
    <row r="533" spans="1:7" ht="264" customHeight="1">
      <c r="A533" s="2">
        <v>178</v>
      </c>
      <c r="B533" s="3" t="s">
        <v>244</v>
      </c>
      <c r="C533">
        <f>IMAGE("https://raw.githubusercontent.com/stautonico/tcg-livingdex/main/images/178/1.png", 2)</f>
        <v>0</v>
      </c>
      <c r="G533" t="s">
        <v>9</v>
      </c>
    </row>
    <row r="534" spans="1:7">
      <c r="C534" s="4" t="s">
        <v>8</v>
      </c>
    </row>
    <row r="536" spans="1:7" ht="264" customHeight="1">
      <c r="A536" s="2">
        <v>179</v>
      </c>
      <c r="B536" s="3" t="s">
        <v>245</v>
      </c>
      <c r="C536">
        <f>IMAGE("https://raw.githubusercontent.com/stautonico/tcg-livingdex/main/images/179/1.png", 2)</f>
        <v>0</v>
      </c>
      <c r="G536" t="s">
        <v>9</v>
      </c>
    </row>
    <row r="537" spans="1:7">
      <c r="C537" s="4" t="s">
        <v>8</v>
      </c>
    </row>
    <row r="539" spans="1:7" ht="264" customHeight="1">
      <c r="A539" s="2">
        <v>180</v>
      </c>
      <c r="B539" s="3" t="s">
        <v>246</v>
      </c>
      <c r="C539">
        <f>IMAGE("https://raw.githubusercontent.com/stautonico/tcg-livingdex/main/images/180/1.png", 2)</f>
        <v>0</v>
      </c>
      <c r="D539">
        <f>IMAGE("https://raw.githubusercontent.com/stautonico/tcg-livingdex/main/images/180/2.png", 2)</f>
        <v>0</v>
      </c>
      <c r="E539">
        <f>IMAGE("https://raw.githubusercontent.com/stautonico/tcg-livingdex/main/images/180/3.png", 2)</f>
        <v>0</v>
      </c>
      <c r="F539">
        <f>IMAGE("https://raw.githubusercontent.com/stautonico/tcg-livingdex/main/images/180/4.png", 2)</f>
        <v>0</v>
      </c>
      <c r="G539" t="s">
        <v>9</v>
      </c>
    </row>
    <row r="540" spans="1:7">
      <c r="C540" s="4" t="s">
        <v>247</v>
      </c>
      <c r="D540" s="4" t="s">
        <v>248</v>
      </c>
      <c r="E540" s="4" t="s">
        <v>249</v>
      </c>
      <c r="F540" s="4" t="s">
        <v>250</v>
      </c>
    </row>
    <row r="542" spans="1:7" ht="264" customHeight="1">
      <c r="A542" s="2">
        <v>181</v>
      </c>
      <c r="B542" s="3" t="s">
        <v>251</v>
      </c>
      <c r="C542">
        <f>IMAGE("https://raw.githubusercontent.com/stautonico/tcg-livingdex/main/images/181/1.png", 2)</f>
        <v>0</v>
      </c>
      <c r="G542" t="s">
        <v>9</v>
      </c>
    </row>
    <row r="543" spans="1:7">
      <c r="C543" s="4" t="s">
        <v>8</v>
      </c>
    </row>
    <row r="545" spans="1:7" ht="264" customHeight="1">
      <c r="A545" s="2">
        <v>182</v>
      </c>
      <c r="B545" s="3" t="s">
        <v>252</v>
      </c>
      <c r="C545">
        <f>IMAGE("https://raw.githubusercontent.com/stautonico/tcg-livingdex/main/images/182/1.png", 2)</f>
        <v>0</v>
      </c>
      <c r="G545" t="s">
        <v>9</v>
      </c>
    </row>
    <row r="546" spans="1:7">
      <c r="C546" s="4" t="s">
        <v>8</v>
      </c>
    </row>
    <row r="548" spans="1:7" ht="264" customHeight="1">
      <c r="A548" s="2">
        <v>183</v>
      </c>
      <c r="B548" s="3" t="s">
        <v>253</v>
      </c>
      <c r="C548">
        <f>IMAGE("https://raw.githubusercontent.com/stautonico/tcg-livingdex/main/images/183/1.png", 2)</f>
        <v>0</v>
      </c>
      <c r="D548">
        <f>IMAGE("https://raw.githubusercontent.com/stautonico/tcg-livingdex/main/images/183/2.png", 2)</f>
        <v>0</v>
      </c>
      <c r="E548">
        <f>IMAGE("https://raw.githubusercontent.com/stautonico/tcg-livingdex/main/images/183/3.png", 2)</f>
        <v>0</v>
      </c>
      <c r="F548">
        <f>IMAGE("https://raw.githubusercontent.com/stautonico/tcg-livingdex/main/images/183/4.png", 2)</f>
        <v>0</v>
      </c>
      <c r="G548" t="s">
        <v>9</v>
      </c>
    </row>
    <row r="549" spans="1:7">
      <c r="C549" s="4" t="s">
        <v>254</v>
      </c>
      <c r="D549" s="4" t="s">
        <v>255</v>
      </c>
      <c r="E549" s="4" t="s">
        <v>256</v>
      </c>
      <c r="F549" s="4" t="s">
        <v>257</v>
      </c>
    </row>
    <row r="551" spans="1:7" ht="264" customHeight="1">
      <c r="A551" s="2">
        <v>184</v>
      </c>
      <c r="B551" s="3" t="s">
        <v>258</v>
      </c>
      <c r="C551">
        <f>IMAGE("https://raw.githubusercontent.com/stautonico/tcg-livingdex/main/images/184/1.png", 2)</f>
        <v>0</v>
      </c>
      <c r="G551" t="s">
        <v>9</v>
      </c>
    </row>
    <row r="552" spans="1:7">
      <c r="C552" s="4" t="s">
        <v>8</v>
      </c>
    </row>
    <row r="554" spans="1:7" ht="264" customHeight="1">
      <c r="A554" s="2">
        <v>185</v>
      </c>
      <c r="B554" s="3" t="s">
        <v>259</v>
      </c>
      <c r="C554">
        <f>IMAGE("https://raw.githubusercontent.com/stautonico/tcg-livingdex/main/images/185/1.png", 2)</f>
        <v>0</v>
      </c>
      <c r="G554" t="s">
        <v>9</v>
      </c>
    </row>
    <row r="555" spans="1:7">
      <c r="C555" s="4" t="s">
        <v>8</v>
      </c>
    </row>
    <row r="557" spans="1:7" ht="264" customHeight="1">
      <c r="A557" s="2">
        <v>186</v>
      </c>
      <c r="B557" s="3" t="s">
        <v>260</v>
      </c>
      <c r="C557">
        <f>IMAGE("https://raw.githubusercontent.com/stautonico/tcg-livingdex/main/images/186/1.png", 2)</f>
        <v>0</v>
      </c>
      <c r="G557" t="s">
        <v>9</v>
      </c>
    </row>
    <row r="558" spans="1:7">
      <c r="C558" s="4" t="s">
        <v>8</v>
      </c>
    </row>
    <row r="560" spans="1:7" ht="264" customHeight="1">
      <c r="A560" s="2">
        <v>187</v>
      </c>
      <c r="B560" s="3" t="s">
        <v>261</v>
      </c>
      <c r="C560">
        <f>IMAGE("https://raw.githubusercontent.com/stautonico/tcg-livingdex/main/images/187/1.png", 2)</f>
        <v>0</v>
      </c>
      <c r="G560" t="s">
        <v>9</v>
      </c>
    </row>
    <row r="561" spans="1:7">
      <c r="C561" s="4" t="s">
        <v>8</v>
      </c>
    </row>
    <row r="563" spans="1:7" ht="264" customHeight="1">
      <c r="A563" s="2">
        <v>188</v>
      </c>
      <c r="B563" s="3" t="s">
        <v>262</v>
      </c>
      <c r="C563">
        <f>IMAGE("https://raw.githubusercontent.com/stautonico/tcg-livingdex/main/images/188/1.png", 2)</f>
        <v>0</v>
      </c>
      <c r="G563" t="s">
        <v>9</v>
      </c>
    </row>
    <row r="564" spans="1:7">
      <c r="C564" s="4" t="s">
        <v>8</v>
      </c>
    </row>
    <row r="566" spans="1:7" ht="264" customHeight="1">
      <c r="A566" s="2">
        <v>189</v>
      </c>
      <c r="B566" s="3" t="s">
        <v>263</v>
      </c>
      <c r="C566">
        <f>IMAGE("https://raw.githubusercontent.com/stautonico/tcg-livingdex/main/images/189/1.png", 2)</f>
        <v>0</v>
      </c>
      <c r="G566" t="s">
        <v>9</v>
      </c>
    </row>
    <row r="567" spans="1:7">
      <c r="C567" s="4" t="s">
        <v>8</v>
      </c>
    </row>
    <row r="569" spans="1:7" ht="264" customHeight="1">
      <c r="A569" s="2">
        <v>190</v>
      </c>
      <c r="B569" s="3" t="s">
        <v>264</v>
      </c>
      <c r="C569">
        <f>IMAGE("https://raw.githubusercontent.com/stautonico/tcg-livingdex/main/images/190/1.png", 2)</f>
        <v>0</v>
      </c>
      <c r="G569" t="s">
        <v>9</v>
      </c>
    </row>
    <row r="570" spans="1:7">
      <c r="C570" s="4" t="s">
        <v>8</v>
      </c>
    </row>
    <row r="572" spans="1:7" ht="264" customHeight="1">
      <c r="A572" s="2">
        <v>191</v>
      </c>
      <c r="B572" s="3" t="s">
        <v>265</v>
      </c>
      <c r="C572">
        <f>IMAGE("https://raw.githubusercontent.com/stautonico/tcg-livingdex/main/images/191/1.png", 2)</f>
        <v>0</v>
      </c>
      <c r="G572" t="s">
        <v>9</v>
      </c>
    </row>
    <row r="573" spans="1:7">
      <c r="C573" s="4" t="s">
        <v>8</v>
      </c>
    </row>
    <row r="575" spans="1:7" ht="264" customHeight="1">
      <c r="A575" s="2">
        <v>192</v>
      </c>
      <c r="B575" s="3" t="s">
        <v>266</v>
      </c>
      <c r="C575">
        <f>IMAGE("https://raw.githubusercontent.com/stautonico/tcg-livingdex/main/images/192/1.png", 2)</f>
        <v>0</v>
      </c>
      <c r="G575" t="s">
        <v>9</v>
      </c>
    </row>
    <row r="576" spans="1:7">
      <c r="C576" s="4" t="s">
        <v>267</v>
      </c>
    </row>
    <row r="578" spans="1:7" ht="264" customHeight="1">
      <c r="A578" s="2">
        <v>193</v>
      </c>
      <c r="B578" s="3" t="s">
        <v>268</v>
      </c>
      <c r="C578">
        <f>IMAGE("https://raw.githubusercontent.com/stautonico/tcg-livingdex/main/images/193/1.png", 2)</f>
        <v>0</v>
      </c>
      <c r="G578" t="s">
        <v>9</v>
      </c>
    </row>
    <row r="579" spans="1:7">
      <c r="C579" s="4" t="s">
        <v>8</v>
      </c>
    </row>
    <row r="581" spans="1:7" ht="264" customHeight="1">
      <c r="A581" s="2">
        <v>194</v>
      </c>
      <c r="B581" s="3" t="s">
        <v>269</v>
      </c>
      <c r="C581">
        <f>IMAGE("https://raw.githubusercontent.com/stautonico/tcg-livingdex/main/images/194/1.png", 2)</f>
        <v>0</v>
      </c>
      <c r="D581">
        <f>IMAGE("https://raw.githubusercontent.com/stautonico/tcg-livingdex/main/images/194/2.png", 2)</f>
        <v>0</v>
      </c>
      <c r="E581">
        <f>IMAGE("https://raw.githubusercontent.com/stautonico/tcg-livingdex/main/images/194/3.png", 2)</f>
        <v>0</v>
      </c>
      <c r="F581">
        <f>IMAGE("https://raw.githubusercontent.com/stautonico/tcg-livingdex/main/images/194/4.png", 2)</f>
        <v>0</v>
      </c>
      <c r="G581" t="s">
        <v>9</v>
      </c>
    </row>
    <row r="582" spans="1:7">
      <c r="C582" s="4" t="s">
        <v>270</v>
      </c>
      <c r="D582" s="4" t="s">
        <v>271</v>
      </c>
      <c r="E582" s="4" t="s">
        <v>272</v>
      </c>
      <c r="F582" s="4" t="s">
        <v>273</v>
      </c>
    </row>
    <row r="584" spans="1:7" ht="264" customHeight="1">
      <c r="A584" s="2">
        <v>195</v>
      </c>
      <c r="B584" s="3" t="s">
        <v>274</v>
      </c>
      <c r="C584">
        <f>IMAGE("https://raw.githubusercontent.com/stautonico/tcg-livingdex/main/images/195/1.png", 2)</f>
        <v>0</v>
      </c>
      <c r="G584" t="s">
        <v>9</v>
      </c>
    </row>
    <row r="585" spans="1:7">
      <c r="C585" s="4" t="s">
        <v>8</v>
      </c>
    </row>
    <row r="587" spans="1:7" ht="264" customHeight="1">
      <c r="A587" s="2">
        <v>196</v>
      </c>
      <c r="B587" s="3" t="s">
        <v>275</v>
      </c>
      <c r="C587">
        <f>IMAGE("https://raw.githubusercontent.com/stautonico/tcg-livingdex/main/images/196/1.png", 2)</f>
        <v>0</v>
      </c>
      <c r="G587" t="s">
        <v>9</v>
      </c>
    </row>
    <row r="588" spans="1:7">
      <c r="C588" s="4" t="s">
        <v>8</v>
      </c>
    </row>
    <row r="590" spans="1:7" ht="264" customHeight="1">
      <c r="A590" s="2">
        <v>197</v>
      </c>
      <c r="B590" s="3" t="s">
        <v>276</v>
      </c>
      <c r="C590">
        <f>IMAGE("https://raw.githubusercontent.com/stautonico/tcg-livingdex/main/images/197/1.png", 2)</f>
        <v>0</v>
      </c>
      <c r="G590" t="s">
        <v>9</v>
      </c>
    </row>
    <row r="591" spans="1:7">
      <c r="C591" s="4" t="s">
        <v>8</v>
      </c>
    </row>
    <row r="593" spans="1:7" ht="264" customHeight="1">
      <c r="A593" s="2">
        <v>198</v>
      </c>
      <c r="B593" s="3" t="s">
        <v>277</v>
      </c>
      <c r="C593">
        <f>IMAGE("https://raw.githubusercontent.com/stautonico/tcg-livingdex/main/images/198/1.png", 2)</f>
        <v>0</v>
      </c>
      <c r="G593" t="s">
        <v>9</v>
      </c>
    </row>
    <row r="594" spans="1:7">
      <c r="C594" s="4" t="s">
        <v>8</v>
      </c>
    </row>
    <row r="596" spans="1:7" ht="264" customHeight="1">
      <c r="A596" s="2">
        <v>199</v>
      </c>
      <c r="B596" s="3" t="s">
        <v>278</v>
      </c>
      <c r="C596">
        <f>IMAGE("https://raw.githubusercontent.com/stautonico/tcg-livingdex/main/images/199/1.png", 2)</f>
        <v>0</v>
      </c>
      <c r="G596" t="s">
        <v>9</v>
      </c>
    </row>
    <row r="597" spans="1:7">
      <c r="C597" s="4" t="s">
        <v>8</v>
      </c>
    </row>
    <row r="599" spans="1:7" ht="264" customHeight="1">
      <c r="A599" s="2">
        <v>200</v>
      </c>
      <c r="B599" s="3" t="s">
        <v>279</v>
      </c>
      <c r="C599">
        <f>IMAGE("https://raw.githubusercontent.com/stautonico/tcg-livingdex/main/images/200/1.png", 2)</f>
        <v>0</v>
      </c>
      <c r="G599" t="s">
        <v>9</v>
      </c>
    </row>
    <row r="600" spans="1:7">
      <c r="C600" s="4" t="s">
        <v>8</v>
      </c>
    </row>
    <row r="602" spans="1:7" ht="264" customHeight="1">
      <c r="A602" s="2">
        <v>201</v>
      </c>
      <c r="B602" s="3" t="s">
        <v>280</v>
      </c>
      <c r="C602">
        <f>IMAGE("https://raw.githubusercontent.com/stautonico/tcg-livingdex/main/images/201/1.png", 2)</f>
        <v>0</v>
      </c>
      <c r="G602" t="s">
        <v>9</v>
      </c>
    </row>
    <row r="603" spans="1:7">
      <c r="C603" s="4" t="s">
        <v>8</v>
      </c>
    </row>
    <row r="605" spans="1:7" ht="264" customHeight="1">
      <c r="A605" s="2">
        <v>202</v>
      </c>
      <c r="B605" s="3" t="s">
        <v>281</v>
      </c>
      <c r="C605">
        <f>IMAGE("https://raw.githubusercontent.com/stautonico/tcg-livingdex/main/images/202/1.png", 2)</f>
        <v>0</v>
      </c>
      <c r="G605" t="s">
        <v>9</v>
      </c>
    </row>
    <row r="606" spans="1:7">
      <c r="C606" s="4" t="s">
        <v>8</v>
      </c>
    </row>
    <row r="608" spans="1:7" ht="264" customHeight="1">
      <c r="A608" s="2">
        <v>203</v>
      </c>
      <c r="B608" s="3" t="s">
        <v>282</v>
      </c>
      <c r="C608">
        <f>IMAGE("https://raw.githubusercontent.com/stautonico/tcg-livingdex/main/images/203/1.png", 2)</f>
        <v>0</v>
      </c>
      <c r="G608" t="s">
        <v>9</v>
      </c>
    </row>
    <row r="609" spans="1:7">
      <c r="C609" s="4" t="s">
        <v>8</v>
      </c>
    </row>
    <row r="611" spans="1:7" ht="264" customHeight="1">
      <c r="A611" s="2">
        <v>204</v>
      </c>
      <c r="B611" s="3" t="s">
        <v>283</v>
      </c>
      <c r="C611">
        <f>IMAGE("https://raw.githubusercontent.com/stautonico/tcg-livingdex/main/images/204/1.png", 2)</f>
        <v>0</v>
      </c>
      <c r="G611" t="s">
        <v>9</v>
      </c>
    </row>
    <row r="612" spans="1:7">
      <c r="C612" s="4" t="s">
        <v>8</v>
      </c>
    </row>
    <row r="614" spans="1:7" ht="264" customHeight="1">
      <c r="A614" s="2">
        <v>205</v>
      </c>
      <c r="B614" s="3" t="s">
        <v>284</v>
      </c>
      <c r="C614">
        <f>IMAGE("https://raw.githubusercontent.com/stautonico/tcg-livingdex/main/images/205/1.png", 2)</f>
        <v>0</v>
      </c>
      <c r="G614" t="s">
        <v>9</v>
      </c>
    </row>
    <row r="615" spans="1:7">
      <c r="C615" s="4" t="s">
        <v>8</v>
      </c>
    </row>
    <row r="617" spans="1:7" ht="264" customHeight="1">
      <c r="A617" s="2">
        <v>206</v>
      </c>
      <c r="B617" s="3" t="s">
        <v>285</v>
      </c>
      <c r="C617">
        <f>IMAGE("https://raw.githubusercontent.com/stautonico/tcg-livingdex/main/images/206/1.png", 2)</f>
        <v>0</v>
      </c>
      <c r="G617" t="s">
        <v>9</v>
      </c>
    </row>
    <row r="618" spans="1:7">
      <c r="C618" s="4" t="s">
        <v>286</v>
      </c>
    </row>
    <row r="620" spans="1:7" ht="264" customHeight="1">
      <c r="A620" s="2">
        <v>207</v>
      </c>
      <c r="B620" s="3" t="s">
        <v>287</v>
      </c>
      <c r="C620">
        <f>IMAGE("https://raw.githubusercontent.com/stautonico/tcg-livingdex/main/images/207/1.png", 2)</f>
        <v>0</v>
      </c>
      <c r="G620" t="s">
        <v>9</v>
      </c>
    </row>
    <row r="621" spans="1:7">
      <c r="C621" s="4" t="s">
        <v>8</v>
      </c>
    </row>
    <row r="623" spans="1:7" ht="264" customHeight="1">
      <c r="A623" s="2">
        <v>208</v>
      </c>
      <c r="B623" s="3" t="s">
        <v>288</v>
      </c>
      <c r="C623">
        <f>IMAGE("https://raw.githubusercontent.com/stautonico/tcg-livingdex/main/images/208/1.png", 2)</f>
        <v>0</v>
      </c>
      <c r="G623" t="s">
        <v>9</v>
      </c>
    </row>
    <row r="624" spans="1:7">
      <c r="C624" s="4" t="s">
        <v>8</v>
      </c>
    </row>
    <row r="626" spans="1:7" ht="264" customHeight="1">
      <c r="A626" s="2">
        <v>209</v>
      </c>
      <c r="B626" s="3" t="s">
        <v>289</v>
      </c>
      <c r="C626">
        <f>IMAGE("https://raw.githubusercontent.com/stautonico/tcg-livingdex/main/images/209/1.png", 2)</f>
        <v>0</v>
      </c>
      <c r="G626" t="s">
        <v>9</v>
      </c>
    </row>
    <row r="627" spans="1:7">
      <c r="C627" s="4" t="s">
        <v>8</v>
      </c>
    </row>
    <row r="629" spans="1:7" ht="264" customHeight="1">
      <c r="A629" s="2">
        <v>210</v>
      </c>
      <c r="B629" s="3" t="s">
        <v>290</v>
      </c>
      <c r="C629">
        <f>IMAGE("https://raw.githubusercontent.com/stautonico/tcg-livingdex/main/images/210/1.png", 2)</f>
        <v>0</v>
      </c>
      <c r="G629" t="s">
        <v>9</v>
      </c>
    </row>
    <row r="630" spans="1:7">
      <c r="C630" s="4" t="s">
        <v>8</v>
      </c>
    </row>
    <row r="632" spans="1:7" ht="264" customHeight="1">
      <c r="A632" s="2">
        <v>211</v>
      </c>
      <c r="B632" s="3" t="s">
        <v>291</v>
      </c>
      <c r="C632">
        <f>IMAGE("https://raw.githubusercontent.com/stautonico/tcg-livingdex/main/images/211/1.png", 2)</f>
        <v>0</v>
      </c>
      <c r="G632" t="s">
        <v>9</v>
      </c>
    </row>
    <row r="633" spans="1:7">
      <c r="C633" s="4" t="s">
        <v>8</v>
      </c>
    </row>
    <row r="635" spans="1:7" ht="264" customHeight="1">
      <c r="A635" s="2">
        <v>212</v>
      </c>
      <c r="B635" s="3" t="s">
        <v>292</v>
      </c>
      <c r="C635">
        <f>IMAGE("https://raw.githubusercontent.com/stautonico/tcg-livingdex/main/images/212/1.png", 2)</f>
        <v>0</v>
      </c>
      <c r="G635" t="s">
        <v>9</v>
      </c>
    </row>
    <row r="636" spans="1:7">
      <c r="C636" s="4" t="s">
        <v>8</v>
      </c>
    </row>
    <row r="638" spans="1:7" ht="264" customHeight="1">
      <c r="A638" s="2">
        <v>213</v>
      </c>
      <c r="B638" s="3" t="s">
        <v>293</v>
      </c>
      <c r="C638">
        <f>IMAGE("https://raw.githubusercontent.com/stautonico/tcg-livingdex/main/images/213/1.png", 2)</f>
        <v>0</v>
      </c>
      <c r="D638">
        <f>IMAGE("https://raw.githubusercontent.com/stautonico/tcg-livingdex/main/images/213/2.png", 2)</f>
        <v>0</v>
      </c>
      <c r="E638">
        <f>IMAGE("https://raw.githubusercontent.com/stautonico/tcg-livingdex/main/images/213/3.png", 2)</f>
        <v>0</v>
      </c>
      <c r="F638">
        <f>IMAGE("https://raw.githubusercontent.com/stautonico/tcg-livingdex/main/images/213/4.png", 2)</f>
        <v>0</v>
      </c>
      <c r="G638" t="s">
        <v>9</v>
      </c>
    </row>
    <row r="639" spans="1:7">
      <c r="C639" s="4" t="s">
        <v>294</v>
      </c>
      <c r="D639" s="4" t="s">
        <v>295</v>
      </c>
      <c r="E639" s="4" t="s">
        <v>296</v>
      </c>
      <c r="F639" s="4" t="s">
        <v>297</v>
      </c>
    </row>
    <row r="641" spans="1:7" ht="264" customHeight="1">
      <c r="A641" s="2">
        <v>214</v>
      </c>
      <c r="B641" s="3" t="s">
        <v>298</v>
      </c>
      <c r="C641">
        <f>IMAGE("https://raw.githubusercontent.com/stautonico/tcg-livingdex/main/images/214/1.png", 2)</f>
        <v>0</v>
      </c>
      <c r="G641" t="s">
        <v>9</v>
      </c>
    </row>
    <row r="642" spans="1:7">
      <c r="C642" s="4" t="s">
        <v>8</v>
      </c>
    </row>
    <row r="644" spans="1:7" ht="264" customHeight="1">
      <c r="A644" s="2">
        <v>215</v>
      </c>
      <c r="B644" s="3" t="s">
        <v>299</v>
      </c>
      <c r="C644">
        <f>IMAGE("https://raw.githubusercontent.com/stautonico/tcg-livingdex/main/images/215/1.png", 2)</f>
        <v>0</v>
      </c>
      <c r="G644" t="s">
        <v>9</v>
      </c>
    </row>
    <row r="645" spans="1:7">
      <c r="C645" s="4" t="s">
        <v>8</v>
      </c>
    </row>
    <row r="647" spans="1:7" ht="264" customHeight="1">
      <c r="A647" s="2">
        <v>216</v>
      </c>
      <c r="B647" s="3" t="s">
        <v>300</v>
      </c>
      <c r="C647">
        <f>IMAGE("https://raw.githubusercontent.com/stautonico/tcg-livingdex/main/images/216/1.png", 2)</f>
        <v>0</v>
      </c>
      <c r="G647" t="s">
        <v>9</v>
      </c>
    </row>
    <row r="648" spans="1:7">
      <c r="C648" s="4" t="s">
        <v>8</v>
      </c>
    </row>
    <row r="650" spans="1:7" ht="264" customHeight="1">
      <c r="A650" s="2">
        <v>217</v>
      </c>
      <c r="B650" s="3" t="s">
        <v>301</v>
      </c>
      <c r="C650">
        <f>IMAGE("https://raw.githubusercontent.com/stautonico/tcg-livingdex/main/images/217/1.png", 2)</f>
        <v>0</v>
      </c>
      <c r="G650" t="s">
        <v>9</v>
      </c>
    </row>
    <row r="651" spans="1:7">
      <c r="C651" s="4" t="s">
        <v>8</v>
      </c>
    </row>
    <row r="653" spans="1:7" ht="264" customHeight="1">
      <c r="A653" s="2">
        <v>218</v>
      </c>
      <c r="B653" s="3" t="s">
        <v>302</v>
      </c>
      <c r="C653">
        <f>IMAGE("https://raw.githubusercontent.com/stautonico/tcg-livingdex/main/images/218/1.png", 2)</f>
        <v>0</v>
      </c>
      <c r="G653" t="s">
        <v>9</v>
      </c>
    </row>
    <row r="654" spans="1:7">
      <c r="C654" s="4" t="s">
        <v>8</v>
      </c>
    </row>
    <row r="656" spans="1:7" ht="264" customHeight="1">
      <c r="A656" s="2">
        <v>219</v>
      </c>
      <c r="B656" s="3" t="s">
        <v>303</v>
      </c>
      <c r="C656">
        <f>IMAGE("https://raw.githubusercontent.com/stautonico/tcg-livingdex/main/images/219/1.png", 2)</f>
        <v>0</v>
      </c>
      <c r="G656" t="s">
        <v>9</v>
      </c>
    </row>
    <row r="657" spans="1:7">
      <c r="C657" s="4" t="s">
        <v>8</v>
      </c>
    </row>
    <row r="659" spans="1:7" ht="264" customHeight="1">
      <c r="A659" s="2">
        <v>220</v>
      </c>
      <c r="B659" s="3" t="s">
        <v>304</v>
      </c>
      <c r="C659">
        <f>IMAGE("https://raw.githubusercontent.com/stautonico/tcg-livingdex/main/images/220/1.png", 2)</f>
        <v>0</v>
      </c>
      <c r="G659" t="s">
        <v>9</v>
      </c>
    </row>
    <row r="660" spans="1:7">
      <c r="C660" s="4" t="s">
        <v>8</v>
      </c>
    </row>
    <row r="662" spans="1:7" ht="264" customHeight="1">
      <c r="A662" s="2">
        <v>221</v>
      </c>
      <c r="B662" s="3" t="s">
        <v>305</v>
      </c>
      <c r="C662">
        <f>IMAGE("https://raw.githubusercontent.com/stautonico/tcg-livingdex/main/images/221/1.png", 2)</f>
        <v>0</v>
      </c>
      <c r="G662" t="s">
        <v>9</v>
      </c>
    </row>
    <row r="663" spans="1:7">
      <c r="C663" s="4" t="s">
        <v>8</v>
      </c>
    </row>
    <row r="665" spans="1:7" ht="264" customHeight="1">
      <c r="A665" s="2">
        <v>222</v>
      </c>
      <c r="B665" s="3" t="s">
        <v>306</v>
      </c>
      <c r="C665">
        <f>IMAGE("https://raw.githubusercontent.com/stautonico/tcg-livingdex/main/images/222/1.png", 2)</f>
        <v>0</v>
      </c>
      <c r="G665" t="s">
        <v>9</v>
      </c>
    </row>
    <row r="666" spans="1:7">
      <c r="C666" s="4" t="s">
        <v>8</v>
      </c>
    </row>
    <row r="668" spans="1:7" ht="264" customHeight="1">
      <c r="A668" s="2">
        <v>223</v>
      </c>
      <c r="B668" s="3" t="s">
        <v>307</v>
      </c>
      <c r="C668">
        <f>IMAGE("https://raw.githubusercontent.com/stautonico/tcg-livingdex/main/images/223/1.png", 2)</f>
        <v>0</v>
      </c>
      <c r="G668" t="s">
        <v>9</v>
      </c>
    </row>
    <row r="669" spans="1:7">
      <c r="C669" s="4" t="s">
        <v>8</v>
      </c>
    </row>
    <row r="671" spans="1:7" ht="264" customHeight="1">
      <c r="A671" s="2">
        <v>224</v>
      </c>
      <c r="B671" s="3" t="s">
        <v>308</v>
      </c>
      <c r="C671">
        <f>IMAGE("https://raw.githubusercontent.com/stautonico/tcg-livingdex/main/images/224/1.png", 2)</f>
        <v>0</v>
      </c>
      <c r="D671">
        <f>IMAGE("https://raw.githubusercontent.com/stautonico/tcg-livingdex/main/images/224/2.png", 2)</f>
        <v>0</v>
      </c>
      <c r="E671">
        <f>IMAGE("https://raw.githubusercontent.com/stautonico/tcg-livingdex/main/images/224/3.png", 2)</f>
        <v>0</v>
      </c>
      <c r="F671">
        <f>IMAGE("https://raw.githubusercontent.com/stautonico/tcg-livingdex/main/images/224/4.png", 2)</f>
        <v>0</v>
      </c>
      <c r="G671" t="s">
        <v>9</v>
      </c>
    </row>
    <row r="672" spans="1:7">
      <c r="C672" s="4" t="s">
        <v>309</v>
      </c>
      <c r="D672" s="4" t="s">
        <v>310</v>
      </c>
      <c r="E672" s="4" t="s">
        <v>311</v>
      </c>
      <c r="F672" s="4" t="s">
        <v>312</v>
      </c>
    </row>
    <row r="674" spans="1:7" ht="264" customHeight="1">
      <c r="A674" s="2">
        <v>225</v>
      </c>
      <c r="B674" s="3" t="s">
        <v>313</v>
      </c>
      <c r="C674">
        <f>IMAGE("https://raw.githubusercontent.com/stautonico/tcg-livingdex/main/images/225/1.png", 2)</f>
        <v>0</v>
      </c>
      <c r="G674" t="s">
        <v>9</v>
      </c>
    </row>
    <row r="675" spans="1:7">
      <c r="C675" s="4" t="s">
        <v>8</v>
      </c>
    </row>
    <row r="677" spans="1:7" ht="264" customHeight="1">
      <c r="A677" s="2">
        <v>226</v>
      </c>
      <c r="B677" s="3" t="s">
        <v>314</v>
      </c>
      <c r="C677">
        <f>IMAGE("https://raw.githubusercontent.com/stautonico/tcg-livingdex/main/images/226/1.png", 2)</f>
        <v>0</v>
      </c>
      <c r="G677" t="s">
        <v>9</v>
      </c>
    </row>
    <row r="678" spans="1:7">
      <c r="C678" s="4" t="s">
        <v>8</v>
      </c>
    </row>
    <row r="680" spans="1:7" ht="264" customHeight="1">
      <c r="A680" s="2">
        <v>227</v>
      </c>
      <c r="B680" s="3" t="s">
        <v>315</v>
      </c>
      <c r="C680">
        <f>IMAGE("https://raw.githubusercontent.com/stautonico/tcg-livingdex/main/images/227/1.png", 2)</f>
        <v>0</v>
      </c>
      <c r="G680" t="s">
        <v>9</v>
      </c>
    </row>
    <row r="681" spans="1:7">
      <c r="C681" s="4" t="s">
        <v>8</v>
      </c>
    </row>
    <row r="683" spans="1:7" ht="264" customHeight="1">
      <c r="A683" s="2">
        <v>228</v>
      </c>
      <c r="B683" s="3" t="s">
        <v>316</v>
      </c>
      <c r="C683">
        <f>IMAGE("https://raw.githubusercontent.com/stautonico/tcg-livingdex/main/images/228/1.png", 2)</f>
        <v>0</v>
      </c>
      <c r="D683">
        <f>IMAGE("https://raw.githubusercontent.com/stautonico/tcg-livingdex/main/images/228/2.png", 2)</f>
        <v>0</v>
      </c>
      <c r="E683">
        <f>IMAGE("https://raw.githubusercontent.com/stautonico/tcg-livingdex/main/images/228/3.png", 2)</f>
        <v>0</v>
      </c>
      <c r="G683" t="s">
        <v>9</v>
      </c>
    </row>
    <row r="684" spans="1:7">
      <c r="C684" s="4" t="s">
        <v>317</v>
      </c>
      <c r="D684" s="4" t="s">
        <v>318</v>
      </c>
      <c r="E684" s="4" t="s">
        <v>319</v>
      </c>
    </row>
    <row r="686" spans="1:7" ht="264" customHeight="1">
      <c r="A686" s="2">
        <v>229</v>
      </c>
      <c r="B686" s="3" t="s">
        <v>320</v>
      </c>
      <c r="C686">
        <f>IMAGE("https://raw.githubusercontent.com/stautonico/tcg-livingdex/main/images/229/1.png", 2)</f>
        <v>0</v>
      </c>
      <c r="G686" t="s">
        <v>9</v>
      </c>
    </row>
    <row r="687" spans="1:7">
      <c r="C687" s="4" t="s">
        <v>8</v>
      </c>
    </row>
    <row r="689" spans="1:7" ht="264" customHeight="1">
      <c r="A689" s="2">
        <v>230</v>
      </c>
      <c r="B689" s="3" t="s">
        <v>321</v>
      </c>
      <c r="C689">
        <f>IMAGE("https://raw.githubusercontent.com/stautonico/tcg-livingdex/main/images/230/1.png", 2)</f>
        <v>0</v>
      </c>
      <c r="G689" t="s">
        <v>9</v>
      </c>
    </row>
    <row r="690" spans="1:7">
      <c r="C690" s="4" t="s">
        <v>8</v>
      </c>
    </row>
    <row r="692" spans="1:7" ht="264" customHeight="1">
      <c r="A692" s="2">
        <v>231</v>
      </c>
      <c r="B692" s="3" t="s">
        <v>322</v>
      </c>
      <c r="C692">
        <f>IMAGE("https://raw.githubusercontent.com/stautonico/tcg-livingdex/main/images/231/1.png", 2)</f>
        <v>0</v>
      </c>
      <c r="G692" t="s">
        <v>9</v>
      </c>
    </row>
    <row r="693" spans="1:7">
      <c r="C693" s="4" t="s">
        <v>8</v>
      </c>
    </row>
    <row r="695" spans="1:7" ht="264" customHeight="1">
      <c r="A695" s="2">
        <v>232</v>
      </c>
      <c r="B695" s="3" t="s">
        <v>323</v>
      </c>
      <c r="C695">
        <f>IMAGE("https://raw.githubusercontent.com/stautonico/tcg-livingdex/main/images/232/1.png", 2)</f>
        <v>0</v>
      </c>
      <c r="G695" t="s">
        <v>9</v>
      </c>
    </row>
    <row r="696" spans="1:7">
      <c r="C696" s="4" t="s">
        <v>8</v>
      </c>
    </row>
    <row r="698" spans="1:7" ht="264" customHeight="1">
      <c r="A698" s="2">
        <v>233</v>
      </c>
      <c r="B698" s="3" t="s">
        <v>324</v>
      </c>
      <c r="C698">
        <f>IMAGE("https://raw.githubusercontent.com/stautonico/tcg-livingdex/main/images/233/1.png", 2)</f>
        <v>0</v>
      </c>
      <c r="G698" t="s">
        <v>9</v>
      </c>
    </row>
    <row r="699" spans="1:7">
      <c r="C699" s="4" t="s">
        <v>8</v>
      </c>
    </row>
    <row r="701" spans="1:7" ht="264" customHeight="1">
      <c r="A701" s="2">
        <v>234</v>
      </c>
      <c r="B701" s="3" t="s">
        <v>325</v>
      </c>
      <c r="C701">
        <f>IMAGE("https://raw.githubusercontent.com/stautonico/tcg-livingdex/main/images/234/1.png", 2)</f>
        <v>0</v>
      </c>
      <c r="G701" t="s">
        <v>9</v>
      </c>
    </row>
    <row r="702" spans="1:7">
      <c r="C702" s="4" t="s">
        <v>8</v>
      </c>
    </row>
    <row r="704" spans="1:7" ht="264" customHeight="1">
      <c r="A704" s="2">
        <v>235</v>
      </c>
      <c r="B704" s="3" t="s">
        <v>326</v>
      </c>
      <c r="C704">
        <f>IMAGE("https://raw.githubusercontent.com/stautonico/tcg-livingdex/main/images/235/1.png", 2)</f>
        <v>0</v>
      </c>
      <c r="G704" t="s">
        <v>9</v>
      </c>
    </row>
    <row r="705" spans="1:7">
      <c r="C705" s="4" t="s">
        <v>8</v>
      </c>
    </row>
    <row r="707" spans="1:7" ht="264" customHeight="1">
      <c r="A707" s="2">
        <v>236</v>
      </c>
      <c r="B707" s="3" t="s">
        <v>327</v>
      </c>
      <c r="C707">
        <f>IMAGE("https://raw.githubusercontent.com/stautonico/tcg-livingdex/main/images/236/1.png", 2)</f>
        <v>0</v>
      </c>
      <c r="G707" t="s">
        <v>9</v>
      </c>
    </row>
    <row r="708" spans="1:7">
      <c r="C708" s="4" t="s">
        <v>8</v>
      </c>
    </row>
    <row r="710" spans="1:7" ht="264" customHeight="1">
      <c r="A710" s="2">
        <v>237</v>
      </c>
      <c r="B710" s="3" t="s">
        <v>328</v>
      </c>
      <c r="C710">
        <f>IMAGE("https://raw.githubusercontent.com/stautonico/tcg-livingdex/main/images/237/1.png", 2)</f>
        <v>0</v>
      </c>
      <c r="D710">
        <f>IMAGE("https://raw.githubusercontent.com/stautonico/tcg-livingdex/main/images/237/2.png", 2)</f>
        <v>0</v>
      </c>
      <c r="E710">
        <f>IMAGE("https://raw.githubusercontent.com/stautonico/tcg-livingdex/main/images/237/3.png", 2)</f>
        <v>0</v>
      </c>
      <c r="F710">
        <f>IMAGE("https://raw.githubusercontent.com/stautonico/tcg-livingdex/main/images/237/4.png", 2)</f>
        <v>0</v>
      </c>
      <c r="G710" t="s">
        <v>9</v>
      </c>
    </row>
    <row r="711" spans="1:7">
      <c r="C711" s="4" t="s">
        <v>329</v>
      </c>
      <c r="D711" s="4" t="s">
        <v>330</v>
      </c>
      <c r="E711" s="4" t="s">
        <v>331</v>
      </c>
      <c r="F711" s="4" t="s">
        <v>332</v>
      </c>
    </row>
    <row r="713" spans="1:7" ht="264" customHeight="1">
      <c r="A713" s="2">
        <v>238</v>
      </c>
      <c r="B713" s="3" t="s">
        <v>333</v>
      </c>
      <c r="C713">
        <f>IMAGE("https://raw.githubusercontent.com/stautonico/tcg-livingdex/main/images/238/1.png", 2)</f>
        <v>0</v>
      </c>
      <c r="G713" t="s">
        <v>9</v>
      </c>
    </row>
    <row r="714" spans="1:7">
      <c r="C714" s="4" t="s">
        <v>8</v>
      </c>
    </row>
    <row r="716" spans="1:7" ht="264" customHeight="1">
      <c r="A716" s="2">
        <v>239</v>
      </c>
      <c r="B716" s="3" t="s">
        <v>334</v>
      </c>
      <c r="C716">
        <f>IMAGE("https://raw.githubusercontent.com/stautonico/tcg-livingdex/main/images/239/1.png", 2)</f>
        <v>0</v>
      </c>
      <c r="G716" t="s">
        <v>9</v>
      </c>
    </row>
    <row r="717" spans="1:7">
      <c r="C717" s="4" t="s">
        <v>8</v>
      </c>
    </row>
    <row r="719" spans="1:7" ht="264" customHeight="1">
      <c r="A719" s="2">
        <v>240</v>
      </c>
      <c r="B719" s="3" t="s">
        <v>335</v>
      </c>
      <c r="C719">
        <f>IMAGE("https://raw.githubusercontent.com/stautonico/tcg-livingdex/main/images/240/1.png", 2)</f>
        <v>0</v>
      </c>
      <c r="D719">
        <f>IMAGE("https://raw.githubusercontent.com/stautonico/tcg-livingdex/main/images/240/2.png", 2)</f>
        <v>0</v>
      </c>
      <c r="E719">
        <f>IMAGE("https://raw.githubusercontent.com/stautonico/tcg-livingdex/main/images/240/3.png", 2)</f>
        <v>0</v>
      </c>
      <c r="F719">
        <f>IMAGE("https://raw.githubusercontent.com/stautonico/tcg-livingdex/main/images/240/4.png", 2)</f>
        <v>0</v>
      </c>
      <c r="G719" t="s">
        <v>9</v>
      </c>
    </row>
    <row r="720" spans="1:7">
      <c r="C720" s="4" t="s">
        <v>336</v>
      </c>
      <c r="D720" s="4" t="s">
        <v>337</v>
      </c>
      <c r="E720" s="4" t="s">
        <v>338</v>
      </c>
      <c r="F720" s="4" t="s">
        <v>339</v>
      </c>
    </row>
    <row r="722" spans="1:7" ht="264" customHeight="1">
      <c r="A722" s="2">
        <v>241</v>
      </c>
      <c r="B722" s="3" t="s">
        <v>340</v>
      </c>
      <c r="C722">
        <f>IMAGE("https://raw.githubusercontent.com/stautonico/tcg-livingdex/main/images/241/1.png", 2)</f>
        <v>0</v>
      </c>
      <c r="D722">
        <f>IMAGE("https://raw.githubusercontent.com/stautonico/tcg-livingdex/main/images/241/2.png", 2)</f>
        <v>0</v>
      </c>
      <c r="E722">
        <f>IMAGE("https://raw.githubusercontent.com/stautonico/tcg-livingdex/main/images/241/3.png", 2)</f>
        <v>0</v>
      </c>
      <c r="F722">
        <f>IMAGE("https://raw.githubusercontent.com/stautonico/tcg-livingdex/main/images/241/4.png", 2)</f>
        <v>0</v>
      </c>
      <c r="G722" t="s">
        <v>9</v>
      </c>
    </row>
    <row r="723" spans="1:7">
      <c r="C723" s="4" t="s">
        <v>341</v>
      </c>
      <c r="D723" s="4" t="s">
        <v>342</v>
      </c>
      <c r="E723" s="4" t="s">
        <v>343</v>
      </c>
      <c r="F723" s="4" t="s">
        <v>344</v>
      </c>
    </row>
    <row r="725" spans="1:7" ht="264" customHeight="1">
      <c r="A725" s="2">
        <v>242</v>
      </c>
      <c r="B725" s="3" t="s">
        <v>345</v>
      </c>
      <c r="C725">
        <f>IMAGE("https://raw.githubusercontent.com/stautonico/tcg-livingdex/main/images/242/1.png", 2)</f>
        <v>0</v>
      </c>
      <c r="G725" t="s">
        <v>9</v>
      </c>
    </row>
    <row r="726" spans="1:7">
      <c r="C726" s="4" t="s">
        <v>8</v>
      </c>
    </row>
    <row r="728" spans="1:7" ht="264" customHeight="1">
      <c r="A728" s="2">
        <v>243</v>
      </c>
      <c r="B728" s="3" t="s">
        <v>346</v>
      </c>
      <c r="C728">
        <f>IMAGE("https://raw.githubusercontent.com/stautonico/tcg-livingdex/main/images/243/1.png", 2)</f>
        <v>0</v>
      </c>
      <c r="G728" t="s">
        <v>9</v>
      </c>
    </row>
    <row r="729" spans="1:7">
      <c r="C729" s="4" t="s">
        <v>8</v>
      </c>
    </row>
    <row r="731" spans="1:7" ht="264" customHeight="1">
      <c r="A731" s="2">
        <v>244</v>
      </c>
      <c r="B731" s="3" t="s">
        <v>347</v>
      </c>
      <c r="C731">
        <f>IMAGE("https://raw.githubusercontent.com/stautonico/tcg-livingdex/main/images/244/1.png", 2)</f>
        <v>0</v>
      </c>
      <c r="G731" t="s">
        <v>9</v>
      </c>
    </row>
    <row r="732" spans="1:7">
      <c r="C732" s="4" t="s">
        <v>8</v>
      </c>
    </row>
    <row r="734" spans="1:7" ht="264" customHeight="1">
      <c r="A734" s="2">
        <v>245</v>
      </c>
      <c r="B734" s="3" t="s">
        <v>348</v>
      </c>
      <c r="C734">
        <f>IMAGE("https://raw.githubusercontent.com/stautonico/tcg-livingdex/main/images/245/1.png", 2)</f>
        <v>0</v>
      </c>
      <c r="G734" t="s">
        <v>9</v>
      </c>
    </row>
    <row r="735" spans="1:7">
      <c r="C735" s="4" t="s">
        <v>8</v>
      </c>
    </row>
    <row r="737" spans="1:7" ht="264" customHeight="1">
      <c r="A737" s="2">
        <v>246</v>
      </c>
      <c r="B737" s="3" t="s">
        <v>349</v>
      </c>
      <c r="C737">
        <f>IMAGE("https://raw.githubusercontent.com/stautonico/tcg-livingdex/main/images/246/1.png", 2)</f>
        <v>0</v>
      </c>
      <c r="D737">
        <f>IMAGE("https://raw.githubusercontent.com/stautonico/tcg-livingdex/main/images/246/2.png", 2)</f>
        <v>0</v>
      </c>
      <c r="E737">
        <f>IMAGE("https://raw.githubusercontent.com/stautonico/tcg-livingdex/main/images/246/3.png", 2)</f>
        <v>0</v>
      </c>
      <c r="F737">
        <f>IMAGE("https://raw.githubusercontent.com/stautonico/tcg-livingdex/main/images/246/4.png", 2)</f>
        <v>0</v>
      </c>
      <c r="G737" t="s">
        <v>9</v>
      </c>
    </row>
    <row r="738" spans="1:7">
      <c r="C738" s="4" t="s">
        <v>350</v>
      </c>
      <c r="D738" s="4" t="s">
        <v>351</v>
      </c>
      <c r="E738" s="4" t="s">
        <v>352</v>
      </c>
      <c r="F738" s="4" t="s">
        <v>353</v>
      </c>
    </row>
    <row r="740" spans="1:7" ht="264" customHeight="1">
      <c r="A740" s="2">
        <v>247</v>
      </c>
      <c r="B740" s="3" t="s">
        <v>354</v>
      </c>
      <c r="C740">
        <f>IMAGE("https://raw.githubusercontent.com/stautonico/tcg-livingdex/main/images/247/1.png", 2)</f>
        <v>0</v>
      </c>
      <c r="G740" t="s">
        <v>9</v>
      </c>
    </row>
    <row r="741" spans="1:7">
      <c r="C741" s="4" t="s">
        <v>8</v>
      </c>
    </row>
    <row r="743" spans="1:7" ht="264" customHeight="1">
      <c r="A743" s="2">
        <v>248</v>
      </c>
      <c r="B743" s="3" t="s">
        <v>355</v>
      </c>
      <c r="C743">
        <f>IMAGE("https://raw.githubusercontent.com/stautonico/tcg-livingdex/main/images/248/1.png", 2)</f>
        <v>0</v>
      </c>
      <c r="G743" t="s">
        <v>9</v>
      </c>
    </row>
    <row r="744" spans="1:7">
      <c r="C744" s="4" t="s">
        <v>8</v>
      </c>
    </row>
    <row r="746" spans="1:7" ht="264" customHeight="1">
      <c r="A746" s="2">
        <v>249</v>
      </c>
      <c r="B746" s="3" t="s">
        <v>356</v>
      </c>
      <c r="C746">
        <f>IMAGE("https://raw.githubusercontent.com/stautonico/tcg-livingdex/main/images/249/1.png", 2)</f>
        <v>0</v>
      </c>
      <c r="G746" t="s">
        <v>9</v>
      </c>
    </row>
    <row r="747" spans="1:7">
      <c r="C747" s="4" t="s">
        <v>8</v>
      </c>
    </row>
    <row r="749" spans="1:7" ht="264" customHeight="1">
      <c r="A749" s="2">
        <v>250</v>
      </c>
      <c r="B749" s="3" t="s">
        <v>357</v>
      </c>
      <c r="C749">
        <f>IMAGE("https://raw.githubusercontent.com/stautonico/tcg-livingdex/main/images/250/1.png", 2)</f>
        <v>0</v>
      </c>
      <c r="G749" t="s">
        <v>9</v>
      </c>
    </row>
    <row r="750" spans="1:7">
      <c r="C750" s="4" t="s">
        <v>8</v>
      </c>
    </row>
    <row r="752" spans="1:7" ht="264" customHeight="1">
      <c r="A752" s="2">
        <v>251</v>
      </c>
      <c r="B752" s="3" t="s">
        <v>358</v>
      </c>
      <c r="C752">
        <f>IMAGE("https://raw.githubusercontent.com/stautonico/tcg-livingdex/main/images/251/1.png", 2)</f>
        <v>0</v>
      </c>
      <c r="G752" t="s">
        <v>9</v>
      </c>
    </row>
    <row r="753" spans="1:7">
      <c r="C753" s="4" t="s">
        <v>8</v>
      </c>
    </row>
    <row r="755" spans="1:7" ht="264" customHeight="1">
      <c r="A755" s="2">
        <v>252</v>
      </c>
      <c r="B755" s="3" t="s">
        <v>359</v>
      </c>
      <c r="C755">
        <f>IMAGE("https://raw.githubusercontent.com/stautonico/tcg-livingdex/main/images/252/1.png", 2)</f>
        <v>0</v>
      </c>
      <c r="G755" t="s">
        <v>9</v>
      </c>
    </row>
    <row r="756" spans="1:7">
      <c r="C756" s="4" t="s">
        <v>8</v>
      </c>
    </row>
    <row r="758" spans="1:7" ht="264" customHeight="1">
      <c r="A758" s="2">
        <v>253</v>
      </c>
      <c r="B758" s="3" t="s">
        <v>360</v>
      </c>
      <c r="C758">
        <f>IMAGE("https://raw.githubusercontent.com/stautonico/tcg-livingdex/main/images/253/1.png", 2)</f>
        <v>0</v>
      </c>
      <c r="G758" t="s">
        <v>9</v>
      </c>
    </row>
    <row r="759" spans="1:7">
      <c r="C759" s="4" t="s">
        <v>8</v>
      </c>
    </row>
    <row r="761" spans="1:7" ht="264" customHeight="1">
      <c r="A761" s="2">
        <v>254</v>
      </c>
      <c r="B761" s="3" t="s">
        <v>361</v>
      </c>
      <c r="C761">
        <f>IMAGE("https://raw.githubusercontent.com/stautonico/tcg-livingdex/main/images/254/1.png", 2)</f>
        <v>0</v>
      </c>
      <c r="G761" t="s">
        <v>9</v>
      </c>
    </row>
    <row r="762" spans="1:7">
      <c r="C762" s="4" t="s">
        <v>8</v>
      </c>
    </row>
    <row r="764" spans="1:7" ht="264" customHeight="1">
      <c r="A764" s="2">
        <v>255</v>
      </c>
      <c r="B764" s="3" t="s">
        <v>362</v>
      </c>
      <c r="C764">
        <f>IMAGE("https://raw.githubusercontent.com/stautonico/tcg-livingdex/main/images/255/1.png", 2)</f>
        <v>0</v>
      </c>
      <c r="G764" t="s">
        <v>9</v>
      </c>
    </row>
    <row r="765" spans="1:7">
      <c r="C765" s="4" t="s">
        <v>8</v>
      </c>
    </row>
    <row r="767" spans="1:7" ht="264" customHeight="1">
      <c r="A767" s="2">
        <v>256</v>
      </c>
      <c r="B767" s="3" t="s">
        <v>363</v>
      </c>
      <c r="C767">
        <f>IMAGE("https://raw.githubusercontent.com/stautonico/tcg-livingdex/main/images/256/1.png", 2)</f>
        <v>0</v>
      </c>
      <c r="G767" t="s">
        <v>9</v>
      </c>
    </row>
    <row r="768" spans="1:7">
      <c r="C768" s="4" t="s">
        <v>8</v>
      </c>
    </row>
    <row r="770" spans="1:7" ht="264" customHeight="1">
      <c r="A770" s="2">
        <v>257</v>
      </c>
      <c r="B770" s="3" t="s">
        <v>364</v>
      </c>
      <c r="C770">
        <f>IMAGE("https://raw.githubusercontent.com/stautonico/tcg-livingdex/main/images/257/1.png", 2)</f>
        <v>0</v>
      </c>
      <c r="G770" t="s">
        <v>9</v>
      </c>
    </row>
    <row r="771" spans="1:7">
      <c r="C771" s="4" t="s">
        <v>8</v>
      </c>
    </row>
    <row r="773" spans="1:7" ht="264" customHeight="1">
      <c r="A773" s="2">
        <v>258</v>
      </c>
      <c r="B773" s="3" t="s">
        <v>365</v>
      </c>
      <c r="C773">
        <f>IMAGE("https://raw.githubusercontent.com/stautonico/tcg-livingdex/main/images/258/1.png", 2)</f>
        <v>0</v>
      </c>
      <c r="G773" t="s">
        <v>9</v>
      </c>
    </row>
    <row r="774" spans="1:7">
      <c r="C774" s="4" t="s">
        <v>8</v>
      </c>
    </row>
    <row r="776" spans="1:7" ht="264" customHeight="1">
      <c r="A776" s="2">
        <v>259</v>
      </c>
      <c r="B776" s="3" t="s">
        <v>366</v>
      </c>
      <c r="C776">
        <f>IMAGE("https://raw.githubusercontent.com/stautonico/tcg-livingdex/main/images/259/1.png", 2)</f>
        <v>0</v>
      </c>
      <c r="G776" t="s">
        <v>9</v>
      </c>
    </row>
    <row r="777" spans="1:7">
      <c r="C777" s="4" t="s">
        <v>8</v>
      </c>
    </row>
    <row r="779" spans="1:7" ht="264" customHeight="1">
      <c r="A779" s="2">
        <v>260</v>
      </c>
      <c r="B779" s="3" t="s">
        <v>367</v>
      </c>
      <c r="C779">
        <f>IMAGE("https://raw.githubusercontent.com/stautonico/tcg-livingdex/main/images/260/1.png", 2)</f>
        <v>0</v>
      </c>
      <c r="G779" t="s">
        <v>9</v>
      </c>
    </row>
    <row r="780" spans="1:7">
      <c r="C780" s="4" t="s">
        <v>8</v>
      </c>
    </row>
    <row r="782" spans="1:7" ht="264" customHeight="1">
      <c r="A782" s="2">
        <v>261</v>
      </c>
      <c r="B782" s="3" t="s">
        <v>368</v>
      </c>
      <c r="C782">
        <f>IMAGE("https://raw.githubusercontent.com/stautonico/tcg-livingdex/main/images/261/1.png", 2)</f>
        <v>0</v>
      </c>
      <c r="D782">
        <f>IMAGE("https://raw.githubusercontent.com/stautonico/tcg-livingdex/main/images/261/2.png", 2)</f>
        <v>0</v>
      </c>
      <c r="E782">
        <f>IMAGE("https://raw.githubusercontent.com/stautonico/tcg-livingdex/main/images/261/3.png", 2)</f>
        <v>0</v>
      </c>
      <c r="F782">
        <f>IMAGE("https://raw.githubusercontent.com/stautonico/tcg-livingdex/main/images/261/4.png", 2)</f>
        <v>0</v>
      </c>
      <c r="G782" t="s">
        <v>9</v>
      </c>
    </row>
    <row r="783" spans="1:7">
      <c r="C783" s="4" t="s">
        <v>369</v>
      </c>
      <c r="D783" s="4" t="s">
        <v>370</v>
      </c>
      <c r="E783" s="4" t="s">
        <v>371</v>
      </c>
      <c r="F783" s="4" t="s">
        <v>372</v>
      </c>
    </row>
    <row r="785" spans="1:7" ht="264" customHeight="1">
      <c r="A785" s="2">
        <v>262</v>
      </c>
      <c r="B785" s="3" t="s">
        <v>373</v>
      </c>
      <c r="C785">
        <f>IMAGE("https://raw.githubusercontent.com/stautonico/tcg-livingdex/main/images/262/1.png", 2)</f>
        <v>0</v>
      </c>
      <c r="G785" t="s">
        <v>9</v>
      </c>
    </row>
    <row r="786" spans="1:7">
      <c r="C786" s="4" t="s">
        <v>8</v>
      </c>
    </row>
    <row r="788" spans="1:7" ht="264" customHeight="1">
      <c r="A788" s="2">
        <v>263</v>
      </c>
      <c r="B788" s="3" t="s">
        <v>374</v>
      </c>
      <c r="C788">
        <f>IMAGE("https://raw.githubusercontent.com/stautonico/tcg-livingdex/main/images/263/1.png", 2)</f>
        <v>0</v>
      </c>
      <c r="G788" t="s">
        <v>9</v>
      </c>
    </row>
    <row r="789" spans="1:7">
      <c r="C789" s="4" t="s">
        <v>8</v>
      </c>
    </row>
    <row r="791" spans="1:7" ht="264" customHeight="1">
      <c r="A791" s="2">
        <v>264</v>
      </c>
      <c r="B791" s="3" t="s">
        <v>375</v>
      </c>
      <c r="C791">
        <f>IMAGE("https://raw.githubusercontent.com/stautonico/tcg-livingdex/main/images/264/1.png", 2)</f>
        <v>0</v>
      </c>
      <c r="G791" t="s">
        <v>9</v>
      </c>
    </row>
    <row r="792" spans="1:7">
      <c r="C792" s="4" t="s">
        <v>8</v>
      </c>
    </row>
    <row r="794" spans="1:7" ht="264" customHeight="1">
      <c r="A794" s="2">
        <v>265</v>
      </c>
      <c r="B794" s="3" t="s">
        <v>376</v>
      </c>
      <c r="C794">
        <f>IMAGE("https://raw.githubusercontent.com/stautonico/tcg-livingdex/main/images/265/1.png", 2)</f>
        <v>0</v>
      </c>
      <c r="G794" t="s">
        <v>9</v>
      </c>
    </row>
    <row r="795" spans="1:7">
      <c r="C795" s="4" t="s">
        <v>8</v>
      </c>
    </row>
    <row r="797" spans="1:7" ht="264" customHeight="1">
      <c r="A797" s="2">
        <v>266</v>
      </c>
      <c r="B797" s="3" t="s">
        <v>377</v>
      </c>
      <c r="C797">
        <f>IMAGE("https://raw.githubusercontent.com/stautonico/tcg-livingdex/main/images/266/1.png", 2)</f>
        <v>0</v>
      </c>
      <c r="G797" t="s">
        <v>9</v>
      </c>
    </row>
    <row r="798" spans="1:7">
      <c r="C798" s="4" t="s">
        <v>8</v>
      </c>
    </row>
    <row r="800" spans="1:7" ht="264" customHeight="1">
      <c r="A800" s="2">
        <v>267</v>
      </c>
      <c r="B800" s="3" t="s">
        <v>378</v>
      </c>
      <c r="C800">
        <f>IMAGE("https://raw.githubusercontent.com/stautonico/tcg-livingdex/main/images/267/1.png", 2)</f>
        <v>0</v>
      </c>
      <c r="G800" t="s">
        <v>9</v>
      </c>
    </row>
    <row r="801" spans="1:7">
      <c r="C801" s="4" t="s">
        <v>8</v>
      </c>
    </row>
    <row r="803" spans="1:7" ht="264" customHeight="1">
      <c r="A803" s="2">
        <v>268</v>
      </c>
      <c r="B803" s="3" t="s">
        <v>379</v>
      </c>
      <c r="C803">
        <f>IMAGE("https://raw.githubusercontent.com/stautonico/tcg-livingdex/main/images/268/1.png", 2)</f>
        <v>0</v>
      </c>
      <c r="G803" t="s">
        <v>9</v>
      </c>
    </row>
    <row r="804" spans="1:7">
      <c r="C804" s="4" t="s">
        <v>8</v>
      </c>
    </row>
    <row r="806" spans="1:7" ht="264" customHeight="1">
      <c r="A806" s="2">
        <v>269</v>
      </c>
      <c r="B806" s="3" t="s">
        <v>380</v>
      </c>
      <c r="C806">
        <f>IMAGE("https://raw.githubusercontent.com/stautonico/tcg-livingdex/main/images/269/1.png", 2)</f>
        <v>0</v>
      </c>
      <c r="G806" t="s">
        <v>9</v>
      </c>
    </row>
    <row r="807" spans="1:7">
      <c r="C807" s="4" t="s">
        <v>8</v>
      </c>
    </row>
    <row r="809" spans="1:7" ht="264" customHeight="1">
      <c r="A809" s="2">
        <v>270</v>
      </c>
      <c r="B809" s="3" t="s">
        <v>381</v>
      </c>
      <c r="C809">
        <f>IMAGE("https://raw.githubusercontent.com/stautonico/tcg-livingdex/main/images/270/1.png", 2)</f>
        <v>0</v>
      </c>
      <c r="G809" t="s">
        <v>9</v>
      </c>
    </row>
    <row r="810" spans="1:7">
      <c r="C810" s="4" t="s">
        <v>8</v>
      </c>
    </row>
    <row r="812" spans="1:7" ht="264" customHeight="1">
      <c r="A812" s="2">
        <v>271</v>
      </c>
      <c r="B812" s="3" t="s">
        <v>382</v>
      </c>
      <c r="C812">
        <f>IMAGE("https://raw.githubusercontent.com/stautonico/tcg-livingdex/main/images/271/1.png", 2)</f>
        <v>0</v>
      </c>
      <c r="G812" t="s">
        <v>9</v>
      </c>
    </row>
    <row r="813" spans="1:7">
      <c r="C813" s="4" t="s">
        <v>8</v>
      </c>
    </row>
    <row r="815" spans="1:7" ht="264" customHeight="1">
      <c r="A815" s="2">
        <v>272</v>
      </c>
      <c r="B815" s="3" t="s">
        <v>383</v>
      </c>
      <c r="C815">
        <f>IMAGE("https://raw.githubusercontent.com/stautonico/tcg-livingdex/main/images/272/1.png", 2)</f>
        <v>0</v>
      </c>
      <c r="G815" t="s">
        <v>9</v>
      </c>
    </row>
    <row r="816" spans="1:7">
      <c r="C816" s="4" t="s">
        <v>8</v>
      </c>
    </row>
    <row r="818" spans="1:7" ht="264" customHeight="1">
      <c r="A818" s="2">
        <v>273</v>
      </c>
      <c r="B818" s="3" t="s">
        <v>384</v>
      </c>
      <c r="C818">
        <f>IMAGE("https://raw.githubusercontent.com/stautonico/tcg-livingdex/main/images/273/1.png", 2)</f>
        <v>0</v>
      </c>
      <c r="G818" t="s">
        <v>9</v>
      </c>
    </row>
    <row r="819" spans="1:7">
      <c r="C819" s="4" t="s">
        <v>8</v>
      </c>
    </row>
    <row r="821" spans="1:7" ht="264" customHeight="1">
      <c r="A821" s="2">
        <v>274</v>
      </c>
      <c r="B821" s="3" t="s">
        <v>385</v>
      </c>
      <c r="C821">
        <f>IMAGE("https://raw.githubusercontent.com/stautonico/tcg-livingdex/main/images/274/1.png", 2)</f>
        <v>0</v>
      </c>
      <c r="G821" t="s">
        <v>9</v>
      </c>
    </row>
    <row r="822" spans="1:7">
      <c r="C822" s="4" t="s">
        <v>8</v>
      </c>
    </row>
    <row r="824" spans="1:7" ht="264" customHeight="1">
      <c r="A824" s="2">
        <v>275</v>
      </c>
      <c r="B824" s="3" t="s">
        <v>386</v>
      </c>
      <c r="C824">
        <f>IMAGE("https://raw.githubusercontent.com/stautonico/tcg-livingdex/main/images/275/1.png", 2)</f>
        <v>0</v>
      </c>
      <c r="G824" t="s">
        <v>9</v>
      </c>
    </row>
    <row r="825" spans="1:7">
      <c r="C825" s="4" t="s">
        <v>8</v>
      </c>
    </row>
    <row r="827" spans="1:7" ht="264" customHeight="1">
      <c r="A827" s="2">
        <v>276</v>
      </c>
      <c r="B827" s="3" t="s">
        <v>387</v>
      </c>
      <c r="C827">
        <f>IMAGE("https://raw.githubusercontent.com/stautonico/tcg-livingdex/main/images/276/1.png", 2)</f>
        <v>0</v>
      </c>
      <c r="G827" t="s">
        <v>9</v>
      </c>
    </row>
    <row r="828" spans="1:7">
      <c r="C828" s="4" t="s">
        <v>8</v>
      </c>
    </row>
    <row r="830" spans="1:7" ht="264" customHeight="1">
      <c r="A830" s="2">
        <v>277</v>
      </c>
      <c r="B830" s="3" t="s">
        <v>388</v>
      </c>
      <c r="C830">
        <f>IMAGE("https://raw.githubusercontent.com/stautonico/tcg-livingdex/main/images/277/1.png", 2)</f>
        <v>0</v>
      </c>
      <c r="G830" t="s">
        <v>9</v>
      </c>
    </row>
    <row r="831" spans="1:7">
      <c r="C831" s="4" t="s">
        <v>8</v>
      </c>
    </row>
    <row r="833" spans="1:7" ht="264" customHeight="1">
      <c r="A833" s="2">
        <v>278</v>
      </c>
      <c r="B833" s="3" t="s">
        <v>389</v>
      </c>
      <c r="C833">
        <f>IMAGE("https://raw.githubusercontent.com/stautonico/tcg-livingdex/main/images/278/1.png", 2)</f>
        <v>0</v>
      </c>
      <c r="G833" t="s">
        <v>9</v>
      </c>
    </row>
    <row r="834" spans="1:7">
      <c r="C834" s="4" t="s">
        <v>8</v>
      </c>
    </row>
    <row r="836" spans="1:7" ht="264" customHeight="1">
      <c r="A836" s="2">
        <v>279</v>
      </c>
      <c r="B836" s="3" t="s">
        <v>390</v>
      </c>
      <c r="C836">
        <f>IMAGE("https://raw.githubusercontent.com/stautonico/tcg-livingdex/main/images/279/1.png", 2)</f>
        <v>0</v>
      </c>
      <c r="G836" t="s">
        <v>9</v>
      </c>
    </row>
    <row r="837" spans="1:7">
      <c r="C837" s="4" t="s">
        <v>8</v>
      </c>
    </row>
    <row r="839" spans="1:7" ht="264" customHeight="1">
      <c r="A839" s="2">
        <v>280</v>
      </c>
      <c r="B839" s="3" t="s">
        <v>391</v>
      </c>
      <c r="C839">
        <f>IMAGE("https://raw.githubusercontent.com/stautonico/tcg-livingdex/main/images/280/1.png", 2)</f>
        <v>0</v>
      </c>
      <c r="G839" t="s">
        <v>9</v>
      </c>
    </row>
    <row r="840" spans="1:7">
      <c r="C840" s="4" t="s">
        <v>8</v>
      </c>
    </row>
    <row r="842" spans="1:7" ht="264" customHeight="1">
      <c r="A842" s="2">
        <v>281</v>
      </c>
      <c r="B842" s="3" t="s">
        <v>392</v>
      </c>
      <c r="C842">
        <f>IMAGE("https://raw.githubusercontent.com/stautonico/tcg-livingdex/main/images/281/1.png", 2)</f>
        <v>0</v>
      </c>
      <c r="D842">
        <f>IMAGE("https://raw.githubusercontent.com/stautonico/tcg-livingdex/main/images/281/2.png", 2)</f>
        <v>0</v>
      </c>
      <c r="E842">
        <f>IMAGE("https://raw.githubusercontent.com/stautonico/tcg-livingdex/main/images/281/3.png", 2)</f>
        <v>0</v>
      </c>
      <c r="F842">
        <f>IMAGE("https://raw.githubusercontent.com/stautonico/tcg-livingdex/main/images/281/4.png", 2)</f>
        <v>0</v>
      </c>
      <c r="G842" t="s">
        <v>9</v>
      </c>
    </row>
    <row r="843" spans="1:7">
      <c r="C843" s="4" t="s">
        <v>393</v>
      </c>
      <c r="D843" s="4" t="s">
        <v>394</v>
      </c>
      <c r="E843" s="4" t="s">
        <v>395</v>
      </c>
      <c r="F843" s="4" t="s">
        <v>396</v>
      </c>
    </row>
    <row r="845" spans="1:7" ht="264" customHeight="1">
      <c r="A845" s="2">
        <v>282</v>
      </c>
      <c r="B845" s="3" t="s">
        <v>397</v>
      </c>
      <c r="C845">
        <f>IMAGE("https://raw.githubusercontent.com/stautonico/tcg-livingdex/main/images/282/1.png", 2)</f>
        <v>0</v>
      </c>
      <c r="G845" t="s">
        <v>9</v>
      </c>
    </row>
    <row r="846" spans="1:7">
      <c r="C846" s="4" t="s">
        <v>8</v>
      </c>
    </row>
    <row r="848" spans="1:7" ht="264" customHeight="1">
      <c r="A848" s="2">
        <v>283</v>
      </c>
      <c r="B848" s="3" t="s">
        <v>398</v>
      </c>
      <c r="C848">
        <f>IMAGE("https://raw.githubusercontent.com/stautonico/tcg-livingdex/main/images/283/1.png", 2)</f>
        <v>0</v>
      </c>
      <c r="G848" t="s">
        <v>9</v>
      </c>
    </row>
    <row r="849" spans="1:7">
      <c r="C849" s="4" t="s">
        <v>8</v>
      </c>
    </row>
    <row r="851" spans="1:7" ht="264" customHeight="1">
      <c r="A851" s="2">
        <v>284</v>
      </c>
      <c r="B851" s="3" t="s">
        <v>399</v>
      </c>
      <c r="C851">
        <f>IMAGE("https://raw.githubusercontent.com/stautonico/tcg-livingdex/main/images/284/1.png", 2)</f>
        <v>0</v>
      </c>
      <c r="G851" t="s">
        <v>9</v>
      </c>
    </row>
    <row r="852" spans="1:7">
      <c r="C852" s="4" t="s">
        <v>8</v>
      </c>
    </row>
    <row r="854" spans="1:7" ht="264" customHeight="1">
      <c r="A854" s="2">
        <v>285</v>
      </c>
      <c r="B854" s="3" t="s">
        <v>400</v>
      </c>
      <c r="C854">
        <f>IMAGE("https://raw.githubusercontent.com/stautonico/tcg-livingdex/main/images/285/1.png", 2)</f>
        <v>0</v>
      </c>
      <c r="G854" t="s">
        <v>9</v>
      </c>
    </row>
    <row r="855" spans="1:7">
      <c r="C855" s="4" t="s">
        <v>8</v>
      </c>
    </row>
    <row r="857" spans="1:7" ht="264" customHeight="1">
      <c r="A857" s="2">
        <v>286</v>
      </c>
      <c r="B857" s="3" t="s">
        <v>401</v>
      </c>
      <c r="C857">
        <f>IMAGE("https://raw.githubusercontent.com/stautonico/tcg-livingdex/main/images/286/1.png", 2)</f>
        <v>0</v>
      </c>
      <c r="G857" t="s">
        <v>9</v>
      </c>
    </row>
    <row r="858" spans="1:7">
      <c r="C858" s="4" t="s">
        <v>8</v>
      </c>
    </row>
    <row r="860" spans="1:7" ht="264" customHeight="1">
      <c r="A860" s="2">
        <v>287</v>
      </c>
      <c r="B860" s="3" t="s">
        <v>402</v>
      </c>
      <c r="C860">
        <f>IMAGE("https://raw.githubusercontent.com/stautonico/tcg-livingdex/main/images/287/1.png", 2)</f>
        <v>0</v>
      </c>
      <c r="G860" t="s">
        <v>9</v>
      </c>
    </row>
    <row r="861" spans="1:7">
      <c r="C861" s="4" t="s">
        <v>8</v>
      </c>
    </row>
    <row r="863" spans="1:7" ht="264" customHeight="1">
      <c r="A863" s="2">
        <v>288</v>
      </c>
      <c r="B863" s="3" t="s">
        <v>403</v>
      </c>
      <c r="C863">
        <f>IMAGE("https://raw.githubusercontent.com/stautonico/tcg-livingdex/main/images/288/1.png", 2)</f>
        <v>0</v>
      </c>
      <c r="G863" t="s">
        <v>9</v>
      </c>
    </row>
    <row r="864" spans="1:7">
      <c r="C864" s="4" t="s">
        <v>8</v>
      </c>
    </row>
    <row r="866" spans="1:7" ht="264" customHeight="1">
      <c r="A866" s="2">
        <v>289</v>
      </c>
      <c r="B866" s="3" t="s">
        <v>404</v>
      </c>
      <c r="C866">
        <f>IMAGE("https://raw.githubusercontent.com/stautonico/tcg-livingdex/main/images/289/1.png", 2)</f>
        <v>0</v>
      </c>
      <c r="G866" t="s">
        <v>9</v>
      </c>
    </row>
    <row r="867" spans="1:7">
      <c r="C867" s="4" t="s">
        <v>8</v>
      </c>
    </row>
    <row r="869" spans="1:7" ht="264" customHeight="1">
      <c r="A869" s="2">
        <v>290</v>
      </c>
      <c r="B869" s="3" t="s">
        <v>405</v>
      </c>
      <c r="C869">
        <f>IMAGE("https://raw.githubusercontent.com/stautonico/tcg-livingdex/main/images/290/1.png", 2)</f>
        <v>0</v>
      </c>
      <c r="G869" t="s">
        <v>9</v>
      </c>
    </row>
    <row r="870" spans="1:7">
      <c r="C870" s="4" t="s">
        <v>8</v>
      </c>
    </row>
    <row r="872" spans="1:7" ht="264" customHeight="1">
      <c r="A872" s="2">
        <v>291</v>
      </c>
      <c r="B872" s="3" t="s">
        <v>406</v>
      </c>
      <c r="C872">
        <f>IMAGE("https://raw.githubusercontent.com/stautonico/tcg-livingdex/main/images/291/1.png", 2)</f>
        <v>0</v>
      </c>
      <c r="G872" t="s">
        <v>9</v>
      </c>
    </row>
    <row r="873" spans="1:7">
      <c r="C873" s="4" t="s">
        <v>8</v>
      </c>
    </row>
    <row r="875" spans="1:7" ht="264" customHeight="1">
      <c r="A875" s="2">
        <v>292</v>
      </c>
      <c r="B875" s="3" t="s">
        <v>407</v>
      </c>
      <c r="C875">
        <f>IMAGE("https://raw.githubusercontent.com/stautonico/tcg-livingdex/main/images/292/1.png", 2)</f>
        <v>0</v>
      </c>
      <c r="G875" t="s">
        <v>9</v>
      </c>
    </row>
    <row r="876" spans="1:7">
      <c r="C876" s="4" t="s">
        <v>8</v>
      </c>
    </row>
    <row r="878" spans="1:7" ht="264" customHeight="1">
      <c r="A878" s="2">
        <v>293</v>
      </c>
      <c r="B878" s="3" t="s">
        <v>408</v>
      </c>
      <c r="C878">
        <f>IMAGE("https://raw.githubusercontent.com/stautonico/tcg-livingdex/main/images/293/1.png", 2)</f>
        <v>0</v>
      </c>
      <c r="G878" t="s">
        <v>9</v>
      </c>
    </row>
    <row r="879" spans="1:7">
      <c r="C879" s="4" t="s">
        <v>8</v>
      </c>
    </row>
    <row r="881" spans="1:7" ht="264" customHeight="1">
      <c r="A881" s="2">
        <v>294</v>
      </c>
      <c r="B881" s="3" t="s">
        <v>409</v>
      </c>
      <c r="C881">
        <f>IMAGE("https://raw.githubusercontent.com/stautonico/tcg-livingdex/main/images/294/1.png", 2)</f>
        <v>0</v>
      </c>
      <c r="G881" t="s">
        <v>9</v>
      </c>
    </row>
    <row r="882" spans="1:7">
      <c r="C882" s="4" t="s">
        <v>410</v>
      </c>
    </row>
    <row r="884" spans="1:7" ht="264" customHeight="1">
      <c r="A884" s="2">
        <v>295</v>
      </c>
      <c r="B884" s="3" t="s">
        <v>411</v>
      </c>
      <c r="C884">
        <f>IMAGE("https://raw.githubusercontent.com/stautonico/tcg-livingdex/main/images/295/1.png", 2)</f>
        <v>0</v>
      </c>
      <c r="G884" t="s">
        <v>9</v>
      </c>
    </row>
    <row r="885" spans="1:7">
      <c r="C885" s="4" t="s">
        <v>8</v>
      </c>
    </row>
    <row r="887" spans="1:7" ht="264" customHeight="1">
      <c r="A887" s="2">
        <v>296</v>
      </c>
      <c r="B887" s="3" t="s">
        <v>412</v>
      </c>
      <c r="C887">
        <f>IMAGE("https://raw.githubusercontent.com/stautonico/tcg-livingdex/main/images/296/1.png", 2)</f>
        <v>0</v>
      </c>
      <c r="G887" t="s">
        <v>9</v>
      </c>
    </row>
    <row r="888" spans="1:7">
      <c r="C888" s="4" t="s">
        <v>8</v>
      </c>
    </row>
    <row r="890" spans="1:7" ht="264" customHeight="1">
      <c r="A890" s="2">
        <v>297</v>
      </c>
      <c r="B890" s="3" t="s">
        <v>413</v>
      </c>
      <c r="C890">
        <f>IMAGE("https://raw.githubusercontent.com/stautonico/tcg-livingdex/main/images/297/1.png", 2)</f>
        <v>0</v>
      </c>
      <c r="G890" t="s">
        <v>9</v>
      </c>
    </row>
    <row r="891" spans="1:7">
      <c r="C891" s="4" t="s">
        <v>8</v>
      </c>
    </row>
    <row r="893" spans="1:7" ht="264" customHeight="1">
      <c r="A893" s="2">
        <v>298</v>
      </c>
      <c r="B893" s="3" t="s">
        <v>414</v>
      </c>
      <c r="C893">
        <f>IMAGE("https://raw.githubusercontent.com/stautonico/tcg-livingdex/main/images/298/1.png", 2)</f>
        <v>0</v>
      </c>
      <c r="D893">
        <f>IMAGE("https://raw.githubusercontent.com/stautonico/tcg-livingdex/main/images/298/2.png", 2)</f>
        <v>0</v>
      </c>
      <c r="E893">
        <f>IMAGE("https://raw.githubusercontent.com/stautonico/tcg-livingdex/main/images/298/3.png", 2)</f>
        <v>0</v>
      </c>
      <c r="F893">
        <f>IMAGE("https://raw.githubusercontent.com/stautonico/tcg-livingdex/main/images/298/4.png", 2)</f>
        <v>0</v>
      </c>
      <c r="G893" t="s">
        <v>9</v>
      </c>
    </row>
    <row r="894" spans="1:7">
      <c r="C894" s="4" t="s">
        <v>415</v>
      </c>
      <c r="D894" s="4" t="s">
        <v>416</v>
      </c>
      <c r="E894" s="4" t="s">
        <v>417</v>
      </c>
      <c r="F894" s="4" t="s">
        <v>418</v>
      </c>
    </row>
    <row r="896" spans="1:7" ht="264" customHeight="1">
      <c r="A896" s="2">
        <v>299</v>
      </c>
      <c r="B896" s="3" t="s">
        <v>419</v>
      </c>
      <c r="C896">
        <f>IMAGE("https://raw.githubusercontent.com/stautonico/tcg-livingdex/main/images/299/1.png", 2)</f>
        <v>0</v>
      </c>
      <c r="G896" t="s">
        <v>9</v>
      </c>
    </row>
    <row r="897" spans="1:7">
      <c r="C897" s="4" t="s">
        <v>8</v>
      </c>
    </row>
    <row r="899" spans="1:7" ht="264" customHeight="1">
      <c r="A899" s="2">
        <v>300</v>
      </c>
      <c r="B899" s="3" t="s">
        <v>420</v>
      </c>
      <c r="C899">
        <f>IMAGE("https://raw.githubusercontent.com/stautonico/tcg-livingdex/main/images/300/1.png", 2)</f>
        <v>0</v>
      </c>
      <c r="G899" t="s">
        <v>9</v>
      </c>
    </row>
    <row r="900" spans="1:7">
      <c r="C900" s="4" t="s">
        <v>8</v>
      </c>
    </row>
    <row r="902" spans="1:7" ht="264" customHeight="1">
      <c r="A902" s="2">
        <v>301</v>
      </c>
      <c r="B902" s="3" t="s">
        <v>421</v>
      </c>
      <c r="C902">
        <f>IMAGE("https://raw.githubusercontent.com/stautonico/tcg-livingdex/main/images/301/1.png", 2)</f>
        <v>0</v>
      </c>
      <c r="G902" t="s">
        <v>9</v>
      </c>
    </row>
    <row r="903" spans="1:7">
      <c r="C903" s="4" t="s">
        <v>8</v>
      </c>
    </row>
    <row r="905" spans="1:7" ht="264" customHeight="1">
      <c r="A905" s="2">
        <v>302</v>
      </c>
      <c r="B905" s="3" t="s">
        <v>422</v>
      </c>
      <c r="C905">
        <f>IMAGE("https://raw.githubusercontent.com/stautonico/tcg-livingdex/main/images/302/1.png", 2)</f>
        <v>0</v>
      </c>
      <c r="G905" t="s">
        <v>9</v>
      </c>
    </row>
    <row r="906" spans="1:7">
      <c r="C906" s="4" t="s">
        <v>8</v>
      </c>
    </row>
    <row r="908" spans="1:7" ht="264" customHeight="1">
      <c r="A908" s="2">
        <v>303</v>
      </c>
      <c r="B908" s="3" t="s">
        <v>423</v>
      </c>
      <c r="C908">
        <f>IMAGE("https://raw.githubusercontent.com/stautonico/tcg-livingdex/main/images/303/1.png", 2)</f>
        <v>0</v>
      </c>
      <c r="G908" t="s">
        <v>9</v>
      </c>
    </row>
    <row r="909" spans="1:7">
      <c r="C909" s="4" t="s">
        <v>8</v>
      </c>
    </row>
    <row r="911" spans="1:7" ht="264" customHeight="1">
      <c r="A911" s="2">
        <v>304</v>
      </c>
      <c r="B911" s="3" t="s">
        <v>424</v>
      </c>
      <c r="C911">
        <f>IMAGE("https://raw.githubusercontent.com/stautonico/tcg-livingdex/main/images/304/1.png", 2)</f>
        <v>0</v>
      </c>
      <c r="G911" t="s">
        <v>9</v>
      </c>
    </row>
    <row r="912" spans="1:7">
      <c r="C912" s="4" t="s">
        <v>8</v>
      </c>
    </row>
    <row r="914" spans="1:7" ht="264" customHeight="1">
      <c r="A914" s="2">
        <v>305</v>
      </c>
      <c r="B914" s="3" t="s">
        <v>425</v>
      </c>
      <c r="C914">
        <f>IMAGE("https://raw.githubusercontent.com/stautonico/tcg-livingdex/main/images/305/1.png", 2)</f>
        <v>0</v>
      </c>
      <c r="G914" t="s">
        <v>9</v>
      </c>
    </row>
    <row r="915" spans="1:7">
      <c r="C915" s="4" t="s">
        <v>8</v>
      </c>
    </row>
    <row r="917" spans="1:7" ht="264" customHeight="1">
      <c r="A917" s="2">
        <v>306</v>
      </c>
      <c r="B917" s="3" t="s">
        <v>426</v>
      </c>
      <c r="C917">
        <f>IMAGE("https://raw.githubusercontent.com/stautonico/tcg-livingdex/main/images/306/1.png", 2)</f>
        <v>0</v>
      </c>
      <c r="G917" t="s">
        <v>9</v>
      </c>
    </row>
    <row r="918" spans="1:7">
      <c r="C918" s="4" t="s">
        <v>8</v>
      </c>
    </row>
    <row r="920" spans="1:7" ht="264" customHeight="1">
      <c r="A920" s="2">
        <v>307</v>
      </c>
      <c r="B920" s="3" t="s">
        <v>427</v>
      </c>
      <c r="C920">
        <f>IMAGE("https://raw.githubusercontent.com/stautonico/tcg-livingdex/main/images/307/1.png", 2)</f>
        <v>0</v>
      </c>
      <c r="D920">
        <f>IMAGE("https://raw.githubusercontent.com/stautonico/tcg-livingdex/main/images/307/2.png", 2)</f>
        <v>0</v>
      </c>
      <c r="E920">
        <f>IMAGE("https://raw.githubusercontent.com/stautonico/tcg-livingdex/main/images/307/3.png", 2)</f>
        <v>0</v>
      </c>
      <c r="F920">
        <f>IMAGE("https://raw.githubusercontent.com/stautonico/tcg-livingdex/main/images/307/4.png", 2)</f>
        <v>0</v>
      </c>
      <c r="G920" t="s">
        <v>9</v>
      </c>
    </row>
    <row r="921" spans="1:7">
      <c r="C921" s="4" t="s">
        <v>428</v>
      </c>
      <c r="D921" s="4" t="s">
        <v>429</v>
      </c>
      <c r="E921" s="4" t="s">
        <v>430</v>
      </c>
      <c r="F921" s="4" t="s">
        <v>431</v>
      </c>
    </row>
    <row r="923" spans="1:7" ht="264" customHeight="1">
      <c r="A923" s="2">
        <v>308</v>
      </c>
      <c r="B923" s="3" t="s">
        <v>432</v>
      </c>
      <c r="C923">
        <f>IMAGE("https://raw.githubusercontent.com/stautonico/tcg-livingdex/main/images/308/1.png", 2)</f>
        <v>0</v>
      </c>
      <c r="G923" t="s">
        <v>9</v>
      </c>
    </row>
    <row r="924" spans="1:7">
      <c r="C924" s="4" t="s">
        <v>8</v>
      </c>
    </row>
    <row r="926" spans="1:7" ht="264" customHeight="1">
      <c r="A926" s="2">
        <v>309</v>
      </c>
      <c r="B926" s="3" t="s">
        <v>433</v>
      </c>
      <c r="C926">
        <f>IMAGE("https://raw.githubusercontent.com/stautonico/tcg-livingdex/main/images/309/1.png", 2)</f>
        <v>0</v>
      </c>
      <c r="G926" t="s">
        <v>9</v>
      </c>
    </row>
    <row r="927" spans="1:7">
      <c r="C927" s="4" t="s">
        <v>8</v>
      </c>
    </row>
    <row r="929" spans="1:7" ht="264" customHeight="1">
      <c r="A929" s="2">
        <v>310</v>
      </c>
      <c r="B929" s="3" t="s">
        <v>434</v>
      </c>
      <c r="C929">
        <f>IMAGE("https://raw.githubusercontent.com/stautonico/tcg-livingdex/main/images/310/1.png", 2)</f>
        <v>0</v>
      </c>
      <c r="G929" t="s">
        <v>9</v>
      </c>
    </row>
    <row r="930" spans="1:7">
      <c r="C930" s="4" t="s">
        <v>8</v>
      </c>
    </row>
    <row r="932" spans="1:7" ht="264" customHeight="1">
      <c r="A932" s="2">
        <v>311</v>
      </c>
      <c r="B932" s="3" t="s">
        <v>435</v>
      </c>
      <c r="C932">
        <f>IMAGE("https://raw.githubusercontent.com/stautonico/tcg-livingdex/main/images/311/1.png", 2)</f>
        <v>0</v>
      </c>
      <c r="G932" t="s">
        <v>9</v>
      </c>
    </row>
    <row r="933" spans="1:7">
      <c r="C933" s="4" t="s">
        <v>8</v>
      </c>
    </row>
    <row r="935" spans="1:7" ht="264" customHeight="1">
      <c r="A935" s="2">
        <v>312</v>
      </c>
      <c r="B935" s="3" t="s">
        <v>436</v>
      </c>
      <c r="C935">
        <f>IMAGE("https://raw.githubusercontent.com/stautonico/tcg-livingdex/main/images/312/1.png", 2)</f>
        <v>0</v>
      </c>
      <c r="D935">
        <f>IMAGE("https://raw.githubusercontent.com/stautonico/tcg-livingdex/main/images/312/2.png", 2)</f>
        <v>0</v>
      </c>
      <c r="E935">
        <f>IMAGE("https://raw.githubusercontent.com/stautonico/tcg-livingdex/main/images/312/3.png", 2)</f>
        <v>0</v>
      </c>
      <c r="F935">
        <f>IMAGE("https://raw.githubusercontent.com/stautonico/tcg-livingdex/main/images/312/4.png", 2)</f>
        <v>0</v>
      </c>
      <c r="G935" t="s">
        <v>9</v>
      </c>
    </row>
    <row r="936" spans="1:7">
      <c r="C936" s="4" t="s">
        <v>437</v>
      </c>
      <c r="D936" s="4" t="s">
        <v>438</v>
      </c>
      <c r="E936" s="4" t="s">
        <v>439</v>
      </c>
      <c r="F936" s="4" t="s">
        <v>440</v>
      </c>
    </row>
    <row r="938" spans="1:7" ht="264" customHeight="1">
      <c r="A938" s="2">
        <v>313</v>
      </c>
      <c r="B938" s="3" t="s">
        <v>441</v>
      </c>
      <c r="C938">
        <f>IMAGE("https://raw.githubusercontent.com/stautonico/tcg-livingdex/main/images/313/1.png", 2)</f>
        <v>0</v>
      </c>
      <c r="G938" t="s">
        <v>9</v>
      </c>
    </row>
    <row r="939" spans="1:7">
      <c r="C939" s="4" t="s">
        <v>8</v>
      </c>
    </row>
    <row r="941" spans="1:7" ht="264" customHeight="1">
      <c r="A941" s="2">
        <v>314</v>
      </c>
      <c r="B941" s="3" t="s">
        <v>442</v>
      </c>
      <c r="C941">
        <f>IMAGE("https://raw.githubusercontent.com/stautonico/tcg-livingdex/main/images/314/1.png", 2)</f>
        <v>0</v>
      </c>
      <c r="G941" t="s">
        <v>9</v>
      </c>
    </row>
    <row r="942" spans="1:7">
      <c r="C942" s="4" t="s">
        <v>8</v>
      </c>
    </row>
    <row r="944" spans="1:7" ht="264" customHeight="1">
      <c r="A944" s="2">
        <v>315</v>
      </c>
      <c r="B944" s="3" t="s">
        <v>443</v>
      </c>
      <c r="C944">
        <f>IMAGE("https://raw.githubusercontent.com/stautonico/tcg-livingdex/main/images/315/1.png", 2)</f>
        <v>0</v>
      </c>
      <c r="G944" t="s">
        <v>9</v>
      </c>
    </row>
    <row r="945" spans="1:7">
      <c r="C945" s="4" t="s">
        <v>8</v>
      </c>
    </row>
    <row r="947" spans="1:7" ht="264" customHeight="1">
      <c r="A947" s="2">
        <v>316</v>
      </c>
      <c r="B947" s="3" t="s">
        <v>444</v>
      </c>
      <c r="C947">
        <f>IMAGE("https://raw.githubusercontent.com/stautonico/tcg-livingdex/main/images/316/1.png", 2)</f>
        <v>0</v>
      </c>
      <c r="D947">
        <f>IMAGE("https://raw.githubusercontent.com/stautonico/tcg-livingdex/main/images/316/2.png", 2)</f>
        <v>0</v>
      </c>
      <c r="E947">
        <f>IMAGE("https://raw.githubusercontent.com/stautonico/tcg-livingdex/main/images/316/3.png", 2)</f>
        <v>0</v>
      </c>
      <c r="F947">
        <f>IMAGE("https://raw.githubusercontent.com/stautonico/tcg-livingdex/main/images/316/4.png", 2)</f>
        <v>0</v>
      </c>
      <c r="G947" t="s">
        <v>9</v>
      </c>
    </row>
    <row r="948" spans="1:7">
      <c r="C948" s="4" t="s">
        <v>445</v>
      </c>
      <c r="D948" s="4" t="s">
        <v>446</v>
      </c>
      <c r="E948" s="4" t="s">
        <v>447</v>
      </c>
      <c r="F948" s="4" t="s">
        <v>448</v>
      </c>
    </row>
    <row r="950" spans="1:7" ht="264" customHeight="1">
      <c r="A950" s="2">
        <v>317</v>
      </c>
      <c r="B950" s="3" t="s">
        <v>449</v>
      </c>
      <c r="C950">
        <f>IMAGE("https://raw.githubusercontent.com/stautonico/tcg-livingdex/main/images/317/1.png", 2)</f>
        <v>0</v>
      </c>
      <c r="G950" t="s">
        <v>9</v>
      </c>
    </row>
    <row r="951" spans="1:7">
      <c r="C951" s="4" t="s">
        <v>8</v>
      </c>
    </row>
    <row r="953" spans="1:7" ht="264" customHeight="1">
      <c r="A953" s="2">
        <v>318</v>
      </c>
      <c r="B953" s="3" t="s">
        <v>450</v>
      </c>
      <c r="C953">
        <f>IMAGE("https://raw.githubusercontent.com/stautonico/tcg-livingdex/main/images/318/1.png", 2)</f>
        <v>0</v>
      </c>
      <c r="G953" t="s">
        <v>9</v>
      </c>
    </row>
    <row r="954" spans="1:7">
      <c r="C954" s="4" t="s">
        <v>8</v>
      </c>
    </row>
    <row r="956" spans="1:7" ht="264" customHeight="1">
      <c r="A956" s="2">
        <v>319</v>
      </c>
      <c r="B956" s="3" t="s">
        <v>451</v>
      </c>
      <c r="C956">
        <f>IMAGE("https://raw.githubusercontent.com/stautonico/tcg-livingdex/main/images/319/1.png", 2)</f>
        <v>0</v>
      </c>
      <c r="G956" t="s">
        <v>9</v>
      </c>
    </row>
    <row r="957" spans="1:7">
      <c r="C957" s="4" t="s">
        <v>8</v>
      </c>
    </row>
    <row r="959" spans="1:7" ht="264" customHeight="1">
      <c r="A959" s="2">
        <v>320</v>
      </c>
      <c r="B959" s="3" t="s">
        <v>452</v>
      </c>
      <c r="C959">
        <f>IMAGE("https://raw.githubusercontent.com/stautonico/tcg-livingdex/main/images/320/1.png", 2)</f>
        <v>0</v>
      </c>
      <c r="G959" t="s">
        <v>9</v>
      </c>
    </row>
    <row r="960" spans="1:7">
      <c r="C960" s="4" t="s">
        <v>8</v>
      </c>
    </row>
    <row r="962" spans="1:7" ht="264" customHeight="1">
      <c r="A962" s="2">
        <v>321</v>
      </c>
      <c r="B962" s="3" t="s">
        <v>453</v>
      </c>
      <c r="C962">
        <f>IMAGE("https://raw.githubusercontent.com/stautonico/tcg-livingdex/main/images/321/1.png", 2)</f>
        <v>0</v>
      </c>
      <c r="G962" t="s">
        <v>9</v>
      </c>
    </row>
    <row r="963" spans="1:7">
      <c r="C963" s="4" t="s">
        <v>8</v>
      </c>
    </row>
    <row r="965" spans="1:7" ht="264" customHeight="1">
      <c r="A965" s="2">
        <v>322</v>
      </c>
      <c r="B965" s="3" t="s">
        <v>454</v>
      </c>
      <c r="C965">
        <f>IMAGE("https://raw.githubusercontent.com/stautonico/tcg-livingdex/main/images/322/1.png", 2)</f>
        <v>0</v>
      </c>
      <c r="G965" t="s">
        <v>9</v>
      </c>
    </row>
    <row r="966" spans="1:7">
      <c r="C966" s="4" t="s">
        <v>8</v>
      </c>
    </row>
    <row r="968" spans="1:7" ht="264" customHeight="1">
      <c r="A968" s="2">
        <v>323</v>
      </c>
      <c r="B968" s="3" t="s">
        <v>455</v>
      </c>
      <c r="C968">
        <f>IMAGE("https://raw.githubusercontent.com/stautonico/tcg-livingdex/main/images/323/1.png", 2)</f>
        <v>0</v>
      </c>
      <c r="D968">
        <f>IMAGE("https://raw.githubusercontent.com/stautonico/tcg-livingdex/main/images/323/2.png", 2)</f>
        <v>0</v>
      </c>
      <c r="E968">
        <f>IMAGE("https://raw.githubusercontent.com/stautonico/tcg-livingdex/main/images/323/3.png", 2)</f>
        <v>0</v>
      </c>
      <c r="F968">
        <f>IMAGE("https://raw.githubusercontent.com/stautonico/tcg-livingdex/main/images/323/4.png", 2)</f>
        <v>0</v>
      </c>
      <c r="G968" t="s">
        <v>9</v>
      </c>
    </row>
    <row r="969" spans="1:7">
      <c r="C969" s="4" t="s">
        <v>456</v>
      </c>
      <c r="D969" s="4" t="s">
        <v>457</v>
      </c>
      <c r="E969" s="4" t="s">
        <v>458</v>
      </c>
      <c r="F969" s="4" t="s">
        <v>459</v>
      </c>
    </row>
    <row r="971" spans="1:7" ht="264" customHeight="1">
      <c r="A971" s="2">
        <v>324</v>
      </c>
      <c r="B971" s="3" t="s">
        <v>460</v>
      </c>
      <c r="C971">
        <f>IMAGE("https://raw.githubusercontent.com/stautonico/tcg-livingdex/main/images/324/1.png", 2)</f>
        <v>0</v>
      </c>
      <c r="D971">
        <f>IMAGE("https://raw.githubusercontent.com/stautonico/tcg-livingdex/main/images/324/2.png", 2)</f>
        <v>0</v>
      </c>
      <c r="G971" t="s">
        <v>9</v>
      </c>
    </row>
    <row r="972" spans="1:7">
      <c r="C972" s="4" t="s">
        <v>461</v>
      </c>
      <c r="D972" s="4" t="s">
        <v>462</v>
      </c>
    </row>
    <row r="974" spans="1:7" ht="264" customHeight="1">
      <c r="A974" s="2">
        <v>325</v>
      </c>
      <c r="B974" s="3" t="s">
        <v>463</v>
      </c>
      <c r="C974">
        <f>IMAGE("https://raw.githubusercontent.com/stautonico/tcg-livingdex/main/images/325/1.png", 2)</f>
        <v>0</v>
      </c>
      <c r="G974" t="s">
        <v>9</v>
      </c>
    </row>
    <row r="975" spans="1:7">
      <c r="C975" s="4" t="s">
        <v>8</v>
      </c>
    </row>
    <row r="977" spans="1:7" ht="264" customHeight="1">
      <c r="A977" s="2">
        <v>326</v>
      </c>
      <c r="B977" s="3" t="s">
        <v>464</v>
      </c>
      <c r="C977">
        <f>IMAGE("https://raw.githubusercontent.com/stautonico/tcg-livingdex/main/images/326/1.png", 2)</f>
        <v>0</v>
      </c>
      <c r="G977" t="s">
        <v>9</v>
      </c>
    </row>
    <row r="978" spans="1:7">
      <c r="C978" s="4" t="s">
        <v>8</v>
      </c>
    </row>
    <row r="980" spans="1:7" ht="264" customHeight="1">
      <c r="A980" s="2">
        <v>327</v>
      </c>
      <c r="B980" s="3" t="s">
        <v>465</v>
      </c>
      <c r="C980">
        <f>IMAGE("https://raw.githubusercontent.com/stautonico/tcg-livingdex/main/images/327/1.png", 2)</f>
        <v>0</v>
      </c>
      <c r="G980" t="s">
        <v>9</v>
      </c>
    </row>
    <row r="981" spans="1:7">
      <c r="C981" s="4" t="s">
        <v>8</v>
      </c>
    </row>
    <row r="983" spans="1:7" ht="264" customHeight="1">
      <c r="A983" s="2">
        <v>328</v>
      </c>
      <c r="B983" s="3" t="s">
        <v>466</v>
      </c>
      <c r="C983">
        <f>IMAGE("https://raw.githubusercontent.com/stautonico/tcg-livingdex/main/images/328/1.png", 2)</f>
        <v>0</v>
      </c>
      <c r="G983" t="s">
        <v>9</v>
      </c>
    </row>
    <row r="984" spans="1:7">
      <c r="C984" s="4" t="s">
        <v>8</v>
      </c>
    </row>
    <row r="986" spans="1:7" ht="264" customHeight="1">
      <c r="A986" s="2">
        <v>329</v>
      </c>
      <c r="B986" s="3" t="s">
        <v>467</v>
      </c>
      <c r="C986">
        <f>IMAGE("https://raw.githubusercontent.com/stautonico/tcg-livingdex/main/images/329/1.png", 2)</f>
        <v>0</v>
      </c>
      <c r="G986" t="s">
        <v>9</v>
      </c>
    </row>
    <row r="987" spans="1:7">
      <c r="C987" s="4" t="s">
        <v>8</v>
      </c>
    </row>
    <row r="989" spans="1:7" ht="264" customHeight="1">
      <c r="A989" s="2">
        <v>330</v>
      </c>
      <c r="B989" s="3" t="s">
        <v>468</v>
      </c>
      <c r="C989">
        <f>IMAGE("https://raw.githubusercontent.com/stautonico/tcg-livingdex/main/images/330/1.png", 2)</f>
        <v>0</v>
      </c>
      <c r="G989" t="s">
        <v>9</v>
      </c>
    </row>
    <row r="990" spans="1:7">
      <c r="C990" s="4" t="s">
        <v>469</v>
      </c>
    </row>
    <row r="992" spans="1:7" ht="264" customHeight="1">
      <c r="A992" s="2">
        <v>331</v>
      </c>
      <c r="B992" s="3" t="s">
        <v>470</v>
      </c>
      <c r="C992">
        <f>IMAGE("https://raw.githubusercontent.com/stautonico/tcg-livingdex/main/images/331/1.png", 2)</f>
        <v>0</v>
      </c>
      <c r="G992" t="s">
        <v>9</v>
      </c>
    </row>
    <row r="993" spans="1:7">
      <c r="C993" s="4" t="s">
        <v>8</v>
      </c>
    </row>
    <row r="995" spans="1:7" ht="264" customHeight="1">
      <c r="A995" s="2">
        <v>332</v>
      </c>
      <c r="B995" s="3" t="s">
        <v>471</v>
      </c>
      <c r="C995">
        <f>IMAGE("https://raw.githubusercontent.com/stautonico/tcg-livingdex/main/images/332/1.png", 2)</f>
        <v>0</v>
      </c>
      <c r="G995" t="s">
        <v>9</v>
      </c>
    </row>
    <row r="996" spans="1:7">
      <c r="C996" s="4" t="s">
        <v>8</v>
      </c>
    </row>
    <row r="998" spans="1:7" ht="264" customHeight="1">
      <c r="A998" s="2">
        <v>333</v>
      </c>
      <c r="B998" s="3" t="s">
        <v>472</v>
      </c>
      <c r="C998">
        <f>IMAGE("https://raw.githubusercontent.com/stautonico/tcg-livingdex/main/images/333/1.png", 2)</f>
        <v>0</v>
      </c>
      <c r="G998" t="s">
        <v>9</v>
      </c>
    </row>
    <row r="999" spans="1:7">
      <c r="C999" s="4" t="s">
        <v>8</v>
      </c>
    </row>
    <row r="1001" spans="1:7" ht="264" customHeight="1">
      <c r="A1001" s="2">
        <v>334</v>
      </c>
      <c r="B1001" s="3" t="s">
        <v>473</v>
      </c>
      <c r="C1001">
        <f>IMAGE("https://raw.githubusercontent.com/stautonico/tcg-livingdex/main/images/334/1.png", 2)</f>
        <v>0</v>
      </c>
      <c r="G1001" t="s">
        <v>9</v>
      </c>
    </row>
    <row r="1002" spans="1:7">
      <c r="C1002" s="4" t="s">
        <v>8</v>
      </c>
    </row>
    <row r="1004" spans="1:7" ht="264" customHeight="1">
      <c r="A1004" s="2">
        <v>335</v>
      </c>
      <c r="B1004" s="3" t="s">
        <v>474</v>
      </c>
      <c r="C1004">
        <f>IMAGE("https://raw.githubusercontent.com/stautonico/tcg-livingdex/main/images/335/1.png", 2)</f>
        <v>0</v>
      </c>
      <c r="G1004" t="s">
        <v>9</v>
      </c>
    </row>
    <row r="1005" spans="1:7">
      <c r="C1005" s="4" t="s">
        <v>8</v>
      </c>
    </row>
    <row r="1007" spans="1:7" ht="264" customHeight="1">
      <c r="A1007" s="2">
        <v>336</v>
      </c>
      <c r="B1007" s="3" t="s">
        <v>475</v>
      </c>
      <c r="C1007">
        <f>IMAGE("https://raw.githubusercontent.com/stautonico/tcg-livingdex/main/images/336/1.png", 2)</f>
        <v>0</v>
      </c>
      <c r="G1007" t="s">
        <v>9</v>
      </c>
    </row>
    <row r="1008" spans="1:7">
      <c r="C1008" s="4" t="s">
        <v>8</v>
      </c>
    </row>
    <row r="1010" spans="1:7" ht="264" customHeight="1">
      <c r="A1010" s="2">
        <v>337</v>
      </c>
      <c r="B1010" s="3" t="s">
        <v>476</v>
      </c>
      <c r="C1010">
        <f>IMAGE("https://raw.githubusercontent.com/stautonico/tcg-livingdex/main/images/337/1.png", 2)</f>
        <v>0</v>
      </c>
      <c r="G1010" t="s">
        <v>9</v>
      </c>
    </row>
    <row r="1011" spans="1:7">
      <c r="C1011" s="4" t="s">
        <v>8</v>
      </c>
    </row>
    <row r="1013" spans="1:7" ht="264" customHeight="1">
      <c r="A1013" s="2">
        <v>338</v>
      </c>
      <c r="B1013" s="3" t="s">
        <v>477</v>
      </c>
      <c r="C1013">
        <f>IMAGE("https://raw.githubusercontent.com/stautonico/tcg-livingdex/main/images/338/1.png", 2)</f>
        <v>0</v>
      </c>
      <c r="G1013" t="s">
        <v>9</v>
      </c>
    </row>
    <row r="1014" spans="1:7">
      <c r="C1014" s="4" t="s">
        <v>8</v>
      </c>
    </row>
    <row r="1016" spans="1:7" ht="264" customHeight="1">
      <c r="A1016" s="2">
        <v>339</v>
      </c>
      <c r="B1016" s="3" t="s">
        <v>478</v>
      </c>
      <c r="C1016">
        <f>IMAGE("https://raw.githubusercontent.com/stautonico/tcg-livingdex/main/images/339/1.png", 2)</f>
        <v>0</v>
      </c>
      <c r="G1016" t="s">
        <v>9</v>
      </c>
    </row>
    <row r="1017" spans="1:7">
      <c r="C1017" s="4" t="s">
        <v>8</v>
      </c>
    </row>
    <row r="1019" spans="1:7" ht="264" customHeight="1">
      <c r="A1019" s="2">
        <v>340</v>
      </c>
      <c r="B1019" s="3" t="s">
        <v>479</v>
      </c>
      <c r="C1019">
        <f>IMAGE("https://raw.githubusercontent.com/stautonico/tcg-livingdex/main/images/340/1.png", 2)</f>
        <v>0</v>
      </c>
      <c r="G1019" t="s">
        <v>9</v>
      </c>
    </row>
    <row r="1020" spans="1:7">
      <c r="C1020" s="4" t="s">
        <v>8</v>
      </c>
    </row>
    <row r="1022" spans="1:7" ht="264" customHeight="1">
      <c r="A1022" s="2">
        <v>341</v>
      </c>
      <c r="B1022" s="3" t="s">
        <v>480</v>
      </c>
      <c r="C1022">
        <f>IMAGE("https://raw.githubusercontent.com/stautonico/tcg-livingdex/main/images/341/1.png", 2)</f>
        <v>0</v>
      </c>
      <c r="G1022" t="s">
        <v>9</v>
      </c>
    </row>
    <row r="1023" spans="1:7">
      <c r="C1023" s="4" t="s">
        <v>8</v>
      </c>
    </row>
    <row r="1025" spans="1:7" ht="264" customHeight="1">
      <c r="A1025" s="2">
        <v>342</v>
      </c>
      <c r="B1025" s="3" t="s">
        <v>481</v>
      </c>
      <c r="C1025">
        <f>IMAGE("https://raw.githubusercontent.com/stautonico/tcg-livingdex/main/images/342/1.png", 2)</f>
        <v>0</v>
      </c>
      <c r="G1025" t="s">
        <v>9</v>
      </c>
    </row>
    <row r="1026" spans="1:7">
      <c r="C1026" s="4" t="s">
        <v>8</v>
      </c>
    </row>
    <row r="1028" spans="1:7" ht="264" customHeight="1">
      <c r="A1028" s="2">
        <v>343</v>
      </c>
      <c r="B1028" s="3" t="s">
        <v>482</v>
      </c>
      <c r="C1028">
        <f>IMAGE("https://raw.githubusercontent.com/stautonico/tcg-livingdex/main/images/343/1.png", 2)</f>
        <v>0</v>
      </c>
      <c r="G1028" t="s">
        <v>9</v>
      </c>
    </row>
    <row r="1029" spans="1:7">
      <c r="C1029" s="4" t="s">
        <v>8</v>
      </c>
    </row>
    <row r="1031" spans="1:7" ht="264" customHeight="1">
      <c r="A1031" s="2">
        <v>344</v>
      </c>
      <c r="B1031" s="3" t="s">
        <v>483</v>
      </c>
      <c r="C1031">
        <f>IMAGE("https://raw.githubusercontent.com/stautonico/tcg-livingdex/main/images/344/1.png", 2)</f>
        <v>0</v>
      </c>
      <c r="G1031" t="s">
        <v>9</v>
      </c>
    </row>
    <row r="1032" spans="1:7">
      <c r="C1032" s="4" t="s">
        <v>8</v>
      </c>
    </row>
    <row r="1034" spans="1:7" ht="264" customHeight="1">
      <c r="A1034" s="2">
        <v>345</v>
      </c>
      <c r="B1034" s="3" t="s">
        <v>484</v>
      </c>
      <c r="C1034">
        <f>IMAGE("https://raw.githubusercontent.com/stautonico/tcg-livingdex/main/images/345/1.png", 2)</f>
        <v>0</v>
      </c>
      <c r="G1034" t="s">
        <v>9</v>
      </c>
    </row>
    <row r="1035" spans="1:7">
      <c r="C1035" s="4" t="s">
        <v>8</v>
      </c>
    </row>
    <row r="1037" spans="1:7" ht="264" customHeight="1">
      <c r="A1037" s="2">
        <v>346</v>
      </c>
      <c r="B1037" s="3" t="s">
        <v>485</v>
      </c>
      <c r="C1037">
        <f>IMAGE("https://raw.githubusercontent.com/stautonico/tcg-livingdex/main/images/346/1.png", 2)</f>
        <v>0</v>
      </c>
      <c r="G1037" t="s">
        <v>9</v>
      </c>
    </row>
    <row r="1038" spans="1:7">
      <c r="C1038" s="4" t="s">
        <v>8</v>
      </c>
    </row>
    <row r="1040" spans="1:7" ht="264" customHeight="1">
      <c r="A1040" s="2">
        <v>347</v>
      </c>
      <c r="B1040" s="3" t="s">
        <v>486</v>
      </c>
      <c r="C1040">
        <f>IMAGE("https://raw.githubusercontent.com/stautonico/tcg-livingdex/main/images/347/1.png", 2)</f>
        <v>0</v>
      </c>
      <c r="D1040">
        <f>IMAGE("https://raw.githubusercontent.com/stautonico/tcg-livingdex/main/images/347/2.png", 2)</f>
        <v>0</v>
      </c>
      <c r="E1040">
        <f>IMAGE("https://raw.githubusercontent.com/stautonico/tcg-livingdex/main/images/347/3.png", 2)</f>
        <v>0</v>
      </c>
      <c r="F1040">
        <f>IMAGE("https://raw.githubusercontent.com/stautonico/tcg-livingdex/main/images/347/4.png", 2)</f>
        <v>0</v>
      </c>
      <c r="G1040" t="s">
        <v>9</v>
      </c>
    </row>
    <row r="1041" spans="1:7">
      <c r="C1041" s="4" t="s">
        <v>487</v>
      </c>
      <c r="D1041" s="4" t="s">
        <v>488</v>
      </c>
      <c r="E1041" s="4" t="s">
        <v>489</v>
      </c>
      <c r="F1041" s="4" t="s">
        <v>490</v>
      </c>
    </row>
    <row r="1043" spans="1:7" ht="264" customHeight="1">
      <c r="A1043" s="2">
        <v>348</v>
      </c>
      <c r="B1043" s="3" t="s">
        <v>491</v>
      </c>
      <c r="C1043">
        <f>IMAGE("https://raw.githubusercontent.com/stautonico/tcg-livingdex/main/images/348/1.png", 2)</f>
        <v>0</v>
      </c>
      <c r="G1043" t="s">
        <v>9</v>
      </c>
    </row>
    <row r="1044" spans="1:7">
      <c r="C1044" s="4" t="s">
        <v>8</v>
      </c>
    </row>
    <row r="1046" spans="1:7" ht="264" customHeight="1">
      <c r="A1046" s="2">
        <v>349</v>
      </c>
      <c r="B1046" s="3" t="s">
        <v>492</v>
      </c>
      <c r="C1046">
        <f>IMAGE("https://raw.githubusercontent.com/stautonico/tcg-livingdex/main/images/349/1.png", 2)</f>
        <v>0</v>
      </c>
      <c r="G1046" t="s">
        <v>9</v>
      </c>
    </row>
    <row r="1047" spans="1:7">
      <c r="C1047" s="4" t="s">
        <v>8</v>
      </c>
    </row>
    <row r="1049" spans="1:7" ht="264" customHeight="1">
      <c r="A1049" s="2">
        <v>350</v>
      </c>
      <c r="B1049" s="3" t="s">
        <v>493</v>
      </c>
      <c r="C1049">
        <f>IMAGE("https://raw.githubusercontent.com/stautonico/tcg-livingdex/main/images/350/1.png", 2)</f>
        <v>0</v>
      </c>
      <c r="G1049" t="s">
        <v>9</v>
      </c>
    </row>
    <row r="1050" spans="1:7">
      <c r="C1050" s="4" t="s">
        <v>8</v>
      </c>
    </row>
    <row r="1052" spans="1:7" ht="264" customHeight="1">
      <c r="A1052" s="2">
        <v>351</v>
      </c>
      <c r="B1052" s="3" t="s">
        <v>494</v>
      </c>
      <c r="C1052">
        <f>IMAGE("https://raw.githubusercontent.com/stautonico/tcg-livingdex/main/images/351/1.png", 2)</f>
        <v>0</v>
      </c>
      <c r="G1052" t="s">
        <v>9</v>
      </c>
    </row>
    <row r="1053" spans="1:7">
      <c r="C1053" s="4" t="s">
        <v>495</v>
      </c>
    </row>
    <row r="1055" spans="1:7" ht="264" customHeight="1">
      <c r="A1055" s="2">
        <v>352</v>
      </c>
      <c r="B1055" s="3" t="s">
        <v>496</v>
      </c>
      <c r="C1055">
        <f>IMAGE("https://raw.githubusercontent.com/stautonico/tcg-livingdex/main/images/352/1.png", 2)</f>
        <v>0</v>
      </c>
      <c r="G1055" t="s">
        <v>9</v>
      </c>
    </row>
    <row r="1056" spans="1:7">
      <c r="C1056" s="4" t="s">
        <v>8</v>
      </c>
    </row>
    <row r="1058" spans="1:7" ht="264" customHeight="1">
      <c r="A1058" s="2">
        <v>353</v>
      </c>
      <c r="B1058" s="3" t="s">
        <v>497</v>
      </c>
      <c r="C1058">
        <f>IMAGE("https://raw.githubusercontent.com/stautonico/tcg-livingdex/main/images/353/1.png", 2)</f>
        <v>0</v>
      </c>
      <c r="G1058" t="s">
        <v>9</v>
      </c>
    </row>
    <row r="1059" spans="1:7">
      <c r="C1059" s="4" t="s">
        <v>8</v>
      </c>
    </row>
    <row r="1061" spans="1:7" ht="264" customHeight="1">
      <c r="A1061" s="2">
        <v>354</v>
      </c>
      <c r="B1061" s="3" t="s">
        <v>498</v>
      </c>
      <c r="C1061">
        <f>IMAGE("https://raw.githubusercontent.com/stautonico/tcg-livingdex/main/images/354/1.png", 2)</f>
        <v>0</v>
      </c>
      <c r="G1061" t="s">
        <v>9</v>
      </c>
    </row>
    <row r="1062" spans="1:7">
      <c r="C1062" s="4" t="s">
        <v>8</v>
      </c>
    </row>
    <row r="1064" spans="1:7" ht="264" customHeight="1">
      <c r="A1064" s="2">
        <v>355</v>
      </c>
      <c r="B1064" s="3" t="s">
        <v>499</v>
      </c>
      <c r="C1064">
        <f>IMAGE("https://raw.githubusercontent.com/stautonico/tcg-livingdex/main/images/355/1.png", 2)</f>
        <v>0</v>
      </c>
      <c r="G1064" t="s">
        <v>9</v>
      </c>
    </row>
    <row r="1065" spans="1:7">
      <c r="C1065" s="4" t="s">
        <v>8</v>
      </c>
    </row>
    <row r="1067" spans="1:7" ht="264" customHeight="1">
      <c r="A1067" s="2">
        <v>356</v>
      </c>
      <c r="B1067" s="3" t="s">
        <v>500</v>
      </c>
      <c r="C1067">
        <f>IMAGE("https://raw.githubusercontent.com/stautonico/tcg-livingdex/main/images/356/1.png", 2)</f>
        <v>0</v>
      </c>
      <c r="G1067" t="s">
        <v>9</v>
      </c>
    </row>
    <row r="1068" spans="1:7">
      <c r="C1068" s="4" t="s">
        <v>8</v>
      </c>
    </row>
    <row r="1070" spans="1:7" ht="264" customHeight="1">
      <c r="A1070" s="2">
        <v>357</v>
      </c>
      <c r="B1070" s="3" t="s">
        <v>501</v>
      </c>
      <c r="C1070">
        <f>IMAGE("https://raw.githubusercontent.com/stautonico/tcg-livingdex/main/images/357/1.png", 2)</f>
        <v>0</v>
      </c>
      <c r="G1070" t="s">
        <v>9</v>
      </c>
    </row>
    <row r="1071" spans="1:7">
      <c r="C1071" s="4" t="s">
        <v>8</v>
      </c>
    </row>
    <row r="1073" spans="1:7" ht="264" customHeight="1">
      <c r="A1073" s="2">
        <v>358</v>
      </c>
      <c r="B1073" s="3" t="s">
        <v>502</v>
      </c>
      <c r="C1073">
        <f>IMAGE("https://raw.githubusercontent.com/stautonico/tcg-livingdex/main/images/358/1.png", 2)</f>
        <v>0</v>
      </c>
      <c r="G1073" t="s">
        <v>9</v>
      </c>
    </row>
    <row r="1074" spans="1:7">
      <c r="C1074" s="4" t="s">
        <v>8</v>
      </c>
    </row>
    <row r="1076" spans="1:7" ht="264" customHeight="1">
      <c r="A1076" s="2">
        <v>359</v>
      </c>
      <c r="B1076" s="3" t="s">
        <v>503</v>
      </c>
      <c r="C1076">
        <f>IMAGE("https://raw.githubusercontent.com/stautonico/tcg-livingdex/main/images/359/1.png", 2)</f>
        <v>0</v>
      </c>
      <c r="D1076">
        <f>IMAGE("https://raw.githubusercontent.com/stautonico/tcg-livingdex/main/images/359/2.png", 2)</f>
        <v>0</v>
      </c>
      <c r="E1076">
        <f>IMAGE("https://raw.githubusercontent.com/stautonico/tcg-livingdex/main/images/359/3.png", 2)</f>
        <v>0</v>
      </c>
      <c r="F1076">
        <f>IMAGE("https://raw.githubusercontent.com/stautonico/tcg-livingdex/main/images/359/4.png", 2)</f>
        <v>0</v>
      </c>
      <c r="G1076" t="s">
        <v>9</v>
      </c>
    </row>
    <row r="1077" spans="1:7">
      <c r="C1077" s="4" t="s">
        <v>504</v>
      </c>
      <c r="D1077" s="4" t="s">
        <v>505</v>
      </c>
      <c r="E1077" s="4" t="s">
        <v>506</v>
      </c>
      <c r="F1077" s="4" t="s">
        <v>507</v>
      </c>
    </row>
    <row r="1079" spans="1:7" ht="264" customHeight="1">
      <c r="A1079" s="2">
        <v>360</v>
      </c>
      <c r="B1079" s="3" t="s">
        <v>508</v>
      </c>
      <c r="C1079">
        <f>IMAGE("https://raw.githubusercontent.com/stautonico/tcg-livingdex/main/images/360/1.png", 2)</f>
        <v>0</v>
      </c>
      <c r="G1079" t="s">
        <v>9</v>
      </c>
    </row>
    <row r="1080" spans="1:7">
      <c r="C1080" s="4" t="s">
        <v>8</v>
      </c>
    </row>
    <row r="1082" spans="1:7" ht="264" customHeight="1">
      <c r="A1082" s="2">
        <v>361</v>
      </c>
      <c r="B1082" s="3" t="s">
        <v>509</v>
      </c>
      <c r="C1082">
        <f>IMAGE("https://raw.githubusercontent.com/stautonico/tcg-livingdex/main/images/361/1.png", 2)</f>
        <v>0</v>
      </c>
      <c r="G1082" t="s">
        <v>9</v>
      </c>
    </row>
    <row r="1083" spans="1:7">
      <c r="C1083" s="4" t="s">
        <v>8</v>
      </c>
    </row>
    <row r="1085" spans="1:7" ht="264" customHeight="1">
      <c r="A1085" s="2">
        <v>362</v>
      </c>
      <c r="B1085" s="3" t="s">
        <v>510</v>
      </c>
      <c r="C1085">
        <f>IMAGE("https://raw.githubusercontent.com/stautonico/tcg-livingdex/main/images/362/1.png", 2)</f>
        <v>0</v>
      </c>
      <c r="G1085" t="s">
        <v>9</v>
      </c>
    </row>
    <row r="1086" spans="1:7">
      <c r="C1086" s="4" t="s">
        <v>8</v>
      </c>
    </row>
    <row r="1088" spans="1:7" ht="264" customHeight="1">
      <c r="A1088" s="2">
        <v>363</v>
      </c>
      <c r="B1088" s="3" t="s">
        <v>511</v>
      </c>
      <c r="C1088">
        <f>IMAGE("https://raw.githubusercontent.com/stautonico/tcg-livingdex/main/images/363/1.png", 2)</f>
        <v>0</v>
      </c>
      <c r="G1088" t="s">
        <v>9</v>
      </c>
    </row>
    <row r="1089" spans="1:7">
      <c r="C1089" s="4" t="s">
        <v>8</v>
      </c>
    </row>
    <row r="1091" spans="1:7" ht="264" customHeight="1">
      <c r="A1091" s="2">
        <v>364</v>
      </c>
      <c r="B1091" s="3" t="s">
        <v>512</v>
      </c>
      <c r="C1091">
        <f>IMAGE("https://raw.githubusercontent.com/stautonico/tcg-livingdex/main/images/364/1.png", 2)</f>
        <v>0</v>
      </c>
      <c r="G1091" t="s">
        <v>9</v>
      </c>
    </row>
    <row r="1092" spans="1:7">
      <c r="C1092" s="4" t="s">
        <v>8</v>
      </c>
    </row>
    <row r="1094" spans="1:7" ht="264" customHeight="1">
      <c r="A1094" s="2">
        <v>365</v>
      </c>
      <c r="B1094" s="3" t="s">
        <v>513</v>
      </c>
      <c r="C1094">
        <f>IMAGE("https://raw.githubusercontent.com/stautonico/tcg-livingdex/main/images/365/1.png", 2)</f>
        <v>0</v>
      </c>
      <c r="D1094">
        <f>IMAGE("https://raw.githubusercontent.com/stautonico/tcg-livingdex/main/images/365/2.png", 2)</f>
        <v>0</v>
      </c>
      <c r="E1094">
        <f>IMAGE("https://raw.githubusercontent.com/stautonico/tcg-livingdex/main/images/365/3.png", 2)</f>
        <v>0</v>
      </c>
      <c r="F1094">
        <f>IMAGE("https://raw.githubusercontent.com/stautonico/tcg-livingdex/main/images/365/4.png", 2)</f>
        <v>0</v>
      </c>
      <c r="G1094" t="s">
        <v>9</v>
      </c>
    </row>
    <row r="1095" spans="1:7">
      <c r="C1095" s="4" t="s">
        <v>514</v>
      </c>
      <c r="D1095" s="4" t="s">
        <v>515</v>
      </c>
      <c r="E1095" s="4" t="s">
        <v>516</v>
      </c>
      <c r="F1095" s="4" t="s">
        <v>517</v>
      </c>
    </row>
    <row r="1097" spans="1:7" ht="264" customHeight="1">
      <c r="A1097" s="2">
        <v>366</v>
      </c>
      <c r="B1097" s="3" t="s">
        <v>518</v>
      </c>
      <c r="C1097">
        <f>IMAGE("https://raw.githubusercontent.com/stautonico/tcg-livingdex/main/images/366/1.png", 2)</f>
        <v>0</v>
      </c>
      <c r="G1097" t="s">
        <v>9</v>
      </c>
    </row>
    <row r="1098" spans="1:7">
      <c r="C1098" s="4" t="s">
        <v>8</v>
      </c>
    </row>
    <row r="1100" spans="1:7" ht="264" customHeight="1">
      <c r="A1100" s="2">
        <v>367</v>
      </c>
      <c r="B1100" s="3" t="s">
        <v>519</v>
      </c>
      <c r="C1100">
        <f>IMAGE("https://raw.githubusercontent.com/stautonico/tcg-livingdex/main/images/367/1.png", 2)</f>
        <v>0</v>
      </c>
      <c r="G1100" t="s">
        <v>9</v>
      </c>
    </row>
    <row r="1101" spans="1:7">
      <c r="C1101" s="4" t="s">
        <v>8</v>
      </c>
    </row>
    <row r="1103" spans="1:7" ht="264" customHeight="1">
      <c r="A1103" s="2">
        <v>368</v>
      </c>
      <c r="B1103" s="3" t="s">
        <v>520</v>
      </c>
      <c r="C1103">
        <f>IMAGE("https://raw.githubusercontent.com/stautonico/tcg-livingdex/main/images/368/1.png", 2)</f>
        <v>0</v>
      </c>
      <c r="G1103" t="s">
        <v>9</v>
      </c>
    </row>
    <row r="1104" spans="1:7">
      <c r="C1104" s="4" t="s">
        <v>8</v>
      </c>
    </row>
    <row r="1106" spans="1:7" ht="264" customHeight="1">
      <c r="A1106" s="2">
        <v>369</v>
      </c>
      <c r="B1106" s="3" t="s">
        <v>521</v>
      </c>
      <c r="C1106">
        <f>IMAGE("https://raw.githubusercontent.com/stautonico/tcg-livingdex/main/images/369/1.png", 2)</f>
        <v>0</v>
      </c>
      <c r="G1106" t="s">
        <v>9</v>
      </c>
    </row>
    <row r="1107" spans="1:7">
      <c r="C1107" s="4" t="s">
        <v>8</v>
      </c>
    </row>
    <row r="1109" spans="1:7" ht="264" customHeight="1">
      <c r="A1109" s="2">
        <v>370</v>
      </c>
      <c r="B1109" s="3" t="s">
        <v>522</v>
      </c>
      <c r="C1109">
        <f>IMAGE("https://raw.githubusercontent.com/stautonico/tcg-livingdex/main/images/370/1.png", 2)</f>
        <v>0</v>
      </c>
      <c r="G1109" t="s">
        <v>9</v>
      </c>
    </row>
    <row r="1110" spans="1:7">
      <c r="C1110" s="4" t="s">
        <v>8</v>
      </c>
    </row>
    <row r="1112" spans="1:7" ht="264" customHeight="1">
      <c r="A1112" s="2">
        <v>371</v>
      </c>
      <c r="B1112" s="3" t="s">
        <v>523</v>
      </c>
      <c r="C1112">
        <f>IMAGE("https://raw.githubusercontent.com/stautonico/tcg-livingdex/main/images/371/1.png", 2)</f>
        <v>0</v>
      </c>
      <c r="G1112" t="s">
        <v>9</v>
      </c>
    </row>
    <row r="1113" spans="1:7">
      <c r="C1113" s="4" t="s">
        <v>8</v>
      </c>
    </row>
    <row r="1115" spans="1:7" ht="264" customHeight="1">
      <c r="A1115" s="2">
        <v>372</v>
      </c>
      <c r="B1115" s="3" t="s">
        <v>524</v>
      </c>
      <c r="C1115">
        <f>IMAGE("https://raw.githubusercontent.com/stautonico/tcg-livingdex/main/images/372/1.png", 2)</f>
        <v>0</v>
      </c>
      <c r="G1115" t="s">
        <v>9</v>
      </c>
    </row>
    <row r="1116" spans="1:7">
      <c r="C1116" s="4" t="s">
        <v>8</v>
      </c>
    </row>
    <row r="1118" spans="1:7" ht="264" customHeight="1">
      <c r="A1118" s="2">
        <v>373</v>
      </c>
      <c r="B1118" s="3" t="s">
        <v>525</v>
      </c>
      <c r="C1118">
        <f>IMAGE("https://raw.githubusercontent.com/stautonico/tcg-livingdex/main/images/373/1.png", 2)</f>
        <v>0</v>
      </c>
      <c r="G1118" t="s">
        <v>9</v>
      </c>
    </row>
    <row r="1119" spans="1:7">
      <c r="C1119" s="4" t="s">
        <v>8</v>
      </c>
    </row>
    <row r="1121" spans="1:7" ht="264" customHeight="1">
      <c r="A1121" s="2">
        <v>374</v>
      </c>
      <c r="B1121" s="3" t="s">
        <v>526</v>
      </c>
      <c r="C1121">
        <f>IMAGE("https://raw.githubusercontent.com/stautonico/tcg-livingdex/main/images/374/1.png", 2)</f>
        <v>0</v>
      </c>
      <c r="G1121" t="s">
        <v>9</v>
      </c>
    </row>
    <row r="1122" spans="1:7">
      <c r="C1122" s="4" t="s">
        <v>8</v>
      </c>
    </row>
    <row r="1124" spans="1:7" ht="264" customHeight="1">
      <c r="A1124" s="2">
        <v>375</v>
      </c>
      <c r="B1124" s="3" t="s">
        <v>527</v>
      </c>
      <c r="C1124">
        <f>IMAGE("https://raw.githubusercontent.com/stautonico/tcg-livingdex/main/images/375/1.png", 2)</f>
        <v>0</v>
      </c>
      <c r="G1124" t="s">
        <v>9</v>
      </c>
    </row>
    <row r="1125" spans="1:7">
      <c r="C1125" s="4" t="s">
        <v>8</v>
      </c>
    </row>
    <row r="1127" spans="1:7" ht="264" customHeight="1">
      <c r="A1127" s="2">
        <v>376</v>
      </c>
      <c r="B1127" s="3" t="s">
        <v>528</v>
      </c>
      <c r="C1127">
        <f>IMAGE("https://raw.githubusercontent.com/stautonico/tcg-livingdex/main/images/376/1.png", 2)</f>
        <v>0</v>
      </c>
      <c r="G1127" t="s">
        <v>9</v>
      </c>
    </row>
    <row r="1128" spans="1:7">
      <c r="C1128" s="4" t="s">
        <v>8</v>
      </c>
    </row>
    <row r="1130" spans="1:7" ht="264" customHeight="1">
      <c r="A1130" s="2">
        <v>377</v>
      </c>
      <c r="B1130" s="3" t="s">
        <v>529</v>
      </c>
      <c r="C1130">
        <f>IMAGE("https://raw.githubusercontent.com/stautonico/tcg-livingdex/main/images/377/1.png", 2)</f>
        <v>0</v>
      </c>
      <c r="G1130" t="s">
        <v>9</v>
      </c>
    </row>
    <row r="1131" spans="1:7">
      <c r="C1131" s="4" t="s">
        <v>8</v>
      </c>
    </row>
    <row r="1133" spans="1:7" ht="264" customHeight="1">
      <c r="A1133" s="2">
        <v>378</v>
      </c>
      <c r="B1133" s="3" t="s">
        <v>530</v>
      </c>
      <c r="C1133">
        <f>IMAGE("https://raw.githubusercontent.com/stautonico/tcg-livingdex/main/images/378/1.png", 2)</f>
        <v>0</v>
      </c>
      <c r="G1133" t="s">
        <v>9</v>
      </c>
    </row>
    <row r="1134" spans="1:7">
      <c r="C1134" s="4" t="s">
        <v>8</v>
      </c>
    </row>
    <row r="1136" spans="1:7" ht="264" customHeight="1">
      <c r="A1136" s="2">
        <v>379</v>
      </c>
      <c r="B1136" s="3" t="s">
        <v>531</v>
      </c>
      <c r="C1136">
        <f>IMAGE("https://raw.githubusercontent.com/stautonico/tcg-livingdex/main/images/379/1.png", 2)</f>
        <v>0</v>
      </c>
      <c r="G1136" t="s">
        <v>9</v>
      </c>
    </row>
    <row r="1137" spans="1:7">
      <c r="C1137" s="4" t="s">
        <v>8</v>
      </c>
    </row>
    <row r="1139" spans="1:7" ht="264" customHeight="1">
      <c r="A1139" s="2">
        <v>380</v>
      </c>
      <c r="B1139" s="3" t="s">
        <v>532</v>
      </c>
      <c r="C1139">
        <f>IMAGE("https://raw.githubusercontent.com/stautonico/tcg-livingdex/main/images/380/1.png", 2)</f>
        <v>0</v>
      </c>
      <c r="G1139" t="s">
        <v>9</v>
      </c>
    </row>
    <row r="1140" spans="1:7">
      <c r="C1140" s="4" t="s">
        <v>8</v>
      </c>
    </row>
    <row r="1142" spans="1:7" ht="264" customHeight="1">
      <c r="A1142" s="2">
        <v>381</v>
      </c>
      <c r="B1142" s="3" t="s">
        <v>533</v>
      </c>
      <c r="C1142">
        <f>IMAGE("https://raw.githubusercontent.com/stautonico/tcg-livingdex/main/images/381/1.png", 2)</f>
        <v>0</v>
      </c>
      <c r="G1142" t="s">
        <v>9</v>
      </c>
    </row>
    <row r="1143" spans="1:7">
      <c r="C1143" s="4" t="s">
        <v>8</v>
      </c>
    </row>
    <row r="1145" spans="1:7" ht="264" customHeight="1">
      <c r="A1145" s="2">
        <v>382</v>
      </c>
      <c r="B1145" s="3" t="s">
        <v>534</v>
      </c>
      <c r="C1145">
        <f>IMAGE("https://raw.githubusercontent.com/stautonico/tcg-livingdex/main/images/382/1.png", 2)</f>
        <v>0</v>
      </c>
      <c r="G1145" t="s">
        <v>9</v>
      </c>
    </row>
    <row r="1146" spans="1:7">
      <c r="C1146" s="4" t="s">
        <v>8</v>
      </c>
    </row>
    <row r="1148" spans="1:7" ht="264" customHeight="1">
      <c r="A1148" s="2">
        <v>383</v>
      </c>
      <c r="B1148" s="3" t="s">
        <v>535</v>
      </c>
      <c r="C1148">
        <f>IMAGE("https://raw.githubusercontent.com/stautonico/tcg-livingdex/main/images/383/1.png", 2)</f>
        <v>0</v>
      </c>
      <c r="G1148" t="s">
        <v>9</v>
      </c>
    </row>
    <row r="1149" spans="1:7">
      <c r="C1149" s="4" t="s">
        <v>8</v>
      </c>
    </row>
    <row r="1151" spans="1:7" ht="264" customHeight="1">
      <c r="A1151" s="2">
        <v>384</v>
      </c>
      <c r="B1151" s="3" t="s">
        <v>536</v>
      </c>
      <c r="C1151">
        <f>IMAGE("https://raw.githubusercontent.com/stautonico/tcg-livingdex/main/images/384/1.png", 2)</f>
        <v>0</v>
      </c>
      <c r="G1151" t="s">
        <v>9</v>
      </c>
    </row>
    <row r="1152" spans="1:7">
      <c r="C1152" s="4" t="s">
        <v>8</v>
      </c>
    </row>
    <row r="1154" spans="1:7" ht="264" customHeight="1">
      <c r="A1154" s="2">
        <v>385</v>
      </c>
      <c r="B1154" s="3" t="s">
        <v>537</v>
      </c>
      <c r="C1154">
        <f>IMAGE("https://raw.githubusercontent.com/stautonico/tcg-livingdex/main/images/385/1.png", 2)</f>
        <v>0</v>
      </c>
      <c r="G1154" t="s">
        <v>9</v>
      </c>
    </row>
    <row r="1155" spans="1:7">
      <c r="C1155" s="4" t="s">
        <v>8</v>
      </c>
    </row>
    <row r="1157" spans="1:7" ht="264" customHeight="1">
      <c r="A1157" s="2">
        <v>386</v>
      </c>
      <c r="B1157" s="3" t="s">
        <v>538</v>
      </c>
      <c r="C1157">
        <f>IMAGE("https://raw.githubusercontent.com/stautonico/tcg-livingdex/main/images/386/1.png", 2)</f>
        <v>0</v>
      </c>
      <c r="D1157">
        <f>IMAGE("https://raw.githubusercontent.com/stautonico/tcg-livingdex/main/images/386/2.png", 2)</f>
        <v>0</v>
      </c>
      <c r="E1157">
        <f>IMAGE("https://raw.githubusercontent.com/stautonico/tcg-livingdex/main/images/386/3.png", 2)</f>
        <v>0</v>
      </c>
      <c r="F1157">
        <f>IMAGE("https://raw.githubusercontent.com/stautonico/tcg-livingdex/main/images/386/4.png", 2)</f>
        <v>0</v>
      </c>
      <c r="G1157" t="s">
        <v>9</v>
      </c>
    </row>
    <row r="1158" spans="1:7">
      <c r="C1158" s="4" t="s">
        <v>539</v>
      </c>
      <c r="D1158" s="4" t="s">
        <v>540</v>
      </c>
      <c r="E1158" s="4" t="s">
        <v>541</v>
      </c>
      <c r="F1158" s="4" t="s">
        <v>542</v>
      </c>
    </row>
    <row r="1160" spans="1:7" ht="264" customHeight="1">
      <c r="A1160" s="2">
        <v>387</v>
      </c>
      <c r="B1160" s="3" t="s">
        <v>543</v>
      </c>
      <c r="C1160">
        <f>IMAGE("https://raw.githubusercontent.com/stautonico/tcg-livingdex/main/images/387/1.png", 2)</f>
        <v>0</v>
      </c>
      <c r="G1160" t="s">
        <v>9</v>
      </c>
    </row>
    <row r="1161" spans="1:7">
      <c r="C1161" s="4" t="s">
        <v>544</v>
      </c>
    </row>
    <row r="1163" spans="1:7" ht="264" customHeight="1">
      <c r="A1163" s="2">
        <v>388</v>
      </c>
      <c r="B1163" s="3" t="s">
        <v>545</v>
      </c>
      <c r="C1163">
        <f>IMAGE("https://raw.githubusercontent.com/stautonico/tcg-livingdex/main/images/388/1.png", 2)</f>
        <v>0</v>
      </c>
      <c r="G1163" t="s">
        <v>9</v>
      </c>
    </row>
    <row r="1164" spans="1:7">
      <c r="C1164" s="4" t="s">
        <v>8</v>
      </c>
    </row>
    <row r="1166" spans="1:7" ht="264" customHeight="1">
      <c r="A1166" s="2">
        <v>389</v>
      </c>
      <c r="B1166" s="3" t="s">
        <v>546</v>
      </c>
      <c r="C1166">
        <f>IMAGE("https://raw.githubusercontent.com/stautonico/tcg-livingdex/main/images/389/1.png", 2)</f>
        <v>0</v>
      </c>
      <c r="G1166" t="s">
        <v>9</v>
      </c>
    </row>
    <row r="1167" spans="1:7">
      <c r="C1167" s="4" t="s">
        <v>8</v>
      </c>
    </row>
    <row r="1169" spans="1:7" ht="264" customHeight="1">
      <c r="A1169" s="2">
        <v>390</v>
      </c>
      <c r="B1169" s="3" t="s">
        <v>547</v>
      </c>
      <c r="C1169">
        <f>IMAGE("https://raw.githubusercontent.com/stautonico/tcg-livingdex/main/images/390/1.png", 2)</f>
        <v>0</v>
      </c>
      <c r="G1169" t="s">
        <v>9</v>
      </c>
    </row>
    <row r="1170" spans="1:7">
      <c r="C1170" s="4" t="s">
        <v>8</v>
      </c>
    </row>
    <row r="1172" spans="1:7" ht="264" customHeight="1">
      <c r="A1172" s="2">
        <v>391</v>
      </c>
      <c r="B1172" s="3" t="s">
        <v>548</v>
      </c>
      <c r="C1172">
        <f>IMAGE("https://raw.githubusercontent.com/stautonico/tcg-livingdex/main/images/391/1.png", 2)</f>
        <v>0</v>
      </c>
      <c r="D1172">
        <f>IMAGE("https://raw.githubusercontent.com/stautonico/tcg-livingdex/main/images/391/2.png", 2)</f>
        <v>0</v>
      </c>
      <c r="E1172">
        <f>IMAGE("https://raw.githubusercontent.com/stautonico/tcg-livingdex/main/images/391/3.png", 2)</f>
        <v>0</v>
      </c>
      <c r="F1172">
        <f>IMAGE("https://raw.githubusercontent.com/stautonico/tcg-livingdex/main/images/391/4.png", 2)</f>
        <v>0</v>
      </c>
      <c r="G1172" t="s">
        <v>9</v>
      </c>
    </row>
    <row r="1173" spans="1:7">
      <c r="C1173" s="4" t="s">
        <v>549</v>
      </c>
      <c r="D1173" s="4" t="s">
        <v>550</v>
      </c>
      <c r="E1173" s="4" t="s">
        <v>551</v>
      </c>
      <c r="F1173" s="4" t="s">
        <v>552</v>
      </c>
    </row>
    <row r="1175" spans="1:7" ht="264" customHeight="1">
      <c r="A1175" s="2">
        <v>392</v>
      </c>
      <c r="B1175" s="3" t="s">
        <v>553</v>
      </c>
      <c r="C1175">
        <f>IMAGE("https://raw.githubusercontent.com/stautonico/tcg-livingdex/main/images/392/1.png", 2)</f>
        <v>0</v>
      </c>
      <c r="G1175" t="s">
        <v>9</v>
      </c>
    </row>
    <row r="1176" spans="1:7">
      <c r="C1176" s="4" t="s">
        <v>8</v>
      </c>
    </row>
    <row r="1178" spans="1:7" ht="264" customHeight="1">
      <c r="A1178" s="2">
        <v>393</v>
      </c>
      <c r="B1178" s="3" t="s">
        <v>554</v>
      </c>
      <c r="C1178">
        <f>IMAGE("https://raw.githubusercontent.com/stautonico/tcg-livingdex/main/images/393/1.png", 2)</f>
        <v>0</v>
      </c>
      <c r="G1178" t="s">
        <v>9</v>
      </c>
    </row>
    <row r="1179" spans="1:7">
      <c r="C1179" s="4" t="s">
        <v>8</v>
      </c>
    </row>
    <row r="1181" spans="1:7" ht="264" customHeight="1">
      <c r="A1181" s="2">
        <v>394</v>
      </c>
      <c r="B1181" s="3" t="s">
        <v>555</v>
      </c>
      <c r="C1181">
        <f>IMAGE("https://raw.githubusercontent.com/stautonico/tcg-livingdex/main/images/394/1.png", 2)</f>
        <v>0</v>
      </c>
      <c r="G1181" t="s">
        <v>9</v>
      </c>
    </row>
    <row r="1182" spans="1:7">
      <c r="C1182" s="4" t="s">
        <v>8</v>
      </c>
    </row>
    <row r="1184" spans="1:7" ht="264" customHeight="1">
      <c r="A1184" s="2">
        <v>395</v>
      </c>
      <c r="B1184" s="3" t="s">
        <v>556</v>
      </c>
      <c r="C1184">
        <f>IMAGE("https://raw.githubusercontent.com/stautonico/tcg-livingdex/main/images/395/1.png", 2)</f>
        <v>0</v>
      </c>
      <c r="G1184" t="s">
        <v>9</v>
      </c>
    </row>
    <row r="1185" spans="1:7">
      <c r="C1185" s="4" t="s">
        <v>8</v>
      </c>
    </row>
    <row r="1187" spans="1:7" ht="264" customHeight="1">
      <c r="A1187" s="2">
        <v>396</v>
      </c>
      <c r="B1187" s="3" t="s">
        <v>557</v>
      </c>
      <c r="C1187">
        <f>IMAGE("https://raw.githubusercontent.com/stautonico/tcg-livingdex/main/images/396/1.png", 2)</f>
        <v>0</v>
      </c>
      <c r="G1187" t="s">
        <v>9</v>
      </c>
    </row>
    <row r="1188" spans="1:7">
      <c r="C1188" s="4" t="s">
        <v>8</v>
      </c>
    </row>
    <row r="1190" spans="1:7" ht="264" customHeight="1">
      <c r="A1190" s="2">
        <v>397</v>
      </c>
      <c r="B1190" s="3" t="s">
        <v>558</v>
      </c>
      <c r="C1190">
        <f>IMAGE("https://raw.githubusercontent.com/stautonico/tcg-livingdex/main/images/397/1.png", 2)</f>
        <v>0</v>
      </c>
      <c r="G1190" t="s">
        <v>9</v>
      </c>
    </row>
    <row r="1191" spans="1:7">
      <c r="C1191" s="4" t="s">
        <v>8</v>
      </c>
    </row>
    <row r="1193" spans="1:7" ht="264" customHeight="1">
      <c r="A1193" s="2">
        <v>398</v>
      </c>
      <c r="B1193" s="3" t="s">
        <v>559</v>
      </c>
      <c r="C1193">
        <f>IMAGE("https://raw.githubusercontent.com/stautonico/tcg-livingdex/main/images/398/1.png", 2)</f>
        <v>0</v>
      </c>
      <c r="D1193">
        <f>IMAGE("https://raw.githubusercontent.com/stautonico/tcg-livingdex/main/images/398/2.png", 2)</f>
        <v>0</v>
      </c>
      <c r="E1193">
        <f>IMAGE("https://raw.githubusercontent.com/stautonico/tcg-livingdex/main/images/398/3.png", 2)</f>
        <v>0</v>
      </c>
      <c r="F1193">
        <f>IMAGE("https://raw.githubusercontent.com/stautonico/tcg-livingdex/main/images/398/4.png", 2)</f>
        <v>0</v>
      </c>
      <c r="G1193" t="s">
        <v>9</v>
      </c>
    </row>
    <row r="1194" spans="1:7">
      <c r="C1194" s="4" t="s">
        <v>560</v>
      </c>
      <c r="D1194" s="4" t="s">
        <v>561</v>
      </c>
      <c r="E1194" s="4" t="s">
        <v>562</v>
      </c>
      <c r="F1194" s="4" t="s">
        <v>563</v>
      </c>
    </row>
    <row r="1196" spans="1:7" ht="264" customHeight="1">
      <c r="A1196" s="2">
        <v>399</v>
      </c>
      <c r="B1196" s="3" t="s">
        <v>564</v>
      </c>
      <c r="C1196">
        <f>IMAGE("https://raw.githubusercontent.com/stautonico/tcg-livingdex/main/images/399/1.png", 2)</f>
        <v>0</v>
      </c>
      <c r="G1196" t="s">
        <v>9</v>
      </c>
    </row>
    <row r="1197" spans="1:7">
      <c r="C1197" s="4" t="s">
        <v>8</v>
      </c>
    </row>
    <row r="1199" spans="1:7" ht="264" customHeight="1">
      <c r="A1199" s="2">
        <v>400</v>
      </c>
      <c r="B1199" s="3" t="s">
        <v>565</v>
      </c>
      <c r="C1199">
        <f>IMAGE("https://raw.githubusercontent.com/stautonico/tcg-livingdex/main/images/400/1.png", 2)</f>
        <v>0</v>
      </c>
      <c r="G1199" t="s">
        <v>9</v>
      </c>
    </row>
    <row r="1200" spans="1:7">
      <c r="C1200" s="4" t="s">
        <v>8</v>
      </c>
    </row>
    <row r="1202" spans="1:7" ht="264" customHeight="1">
      <c r="A1202" s="2">
        <v>401</v>
      </c>
      <c r="B1202" s="3" t="s">
        <v>566</v>
      </c>
      <c r="C1202">
        <f>IMAGE("https://raw.githubusercontent.com/stautonico/tcg-livingdex/main/images/401/1.png", 2)</f>
        <v>0</v>
      </c>
      <c r="G1202" t="s">
        <v>9</v>
      </c>
    </row>
    <row r="1203" spans="1:7">
      <c r="C1203" s="4" t="s">
        <v>8</v>
      </c>
    </row>
    <row r="1205" spans="1:7" ht="264" customHeight="1">
      <c r="A1205" s="2">
        <v>402</v>
      </c>
      <c r="B1205" s="3" t="s">
        <v>567</v>
      </c>
      <c r="C1205">
        <f>IMAGE("https://raw.githubusercontent.com/stautonico/tcg-livingdex/main/images/402/1.png", 2)</f>
        <v>0</v>
      </c>
      <c r="D1205">
        <f>IMAGE("https://raw.githubusercontent.com/stautonico/tcg-livingdex/main/images/402/2.png", 2)</f>
        <v>0</v>
      </c>
      <c r="E1205">
        <f>IMAGE("https://raw.githubusercontent.com/stautonico/tcg-livingdex/main/images/402/3.png", 2)</f>
        <v>0</v>
      </c>
      <c r="F1205">
        <f>IMAGE("https://raw.githubusercontent.com/stautonico/tcg-livingdex/main/images/402/4.png", 2)</f>
        <v>0</v>
      </c>
      <c r="G1205" t="s">
        <v>9</v>
      </c>
    </row>
    <row r="1206" spans="1:7">
      <c r="C1206" s="4" t="s">
        <v>568</v>
      </c>
      <c r="D1206" s="4" t="s">
        <v>569</v>
      </c>
      <c r="E1206" s="4" t="s">
        <v>570</v>
      </c>
      <c r="F1206" s="4" t="s">
        <v>571</v>
      </c>
    </row>
    <row r="1208" spans="1:7" ht="264" customHeight="1">
      <c r="A1208" s="2">
        <v>403</v>
      </c>
      <c r="B1208" s="3" t="s">
        <v>572</v>
      </c>
      <c r="C1208">
        <f>IMAGE("https://raw.githubusercontent.com/stautonico/tcg-livingdex/main/images/403/1.png", 2)</f>
        <v>0</v>
      </c>
      <c r="G1208" t="s">
        <v>9</v>
      </c>
    </row>
    <row r="1209" spans="1:7">
      <c r="C1209" s="4" t="s">
        <v>8</v>
      </c>
    </row>
    <row r="1211" spans="1:7" ht="264" customHeight="1">
      <c r="A1211" s="2">
        <v>404</v>
      </c>
      <c r="B1211" s="3" t="s">
        <v>573</v>
      </c>
      <c r="C1211">
        <f>IMAGE("https://raw.githubusercontent.com/stautonico/tcg-livingdex/main/images/404/1.png", 2)</f>
        <v>0</v>
      </c>
      <c r="G1211" t="s">
        <v>9</v>
      </c>
    </row>
    <row r="1212" spans="1:7">
      <c r="C1212" s="4" t="s">
        <v>8</v>
      </c>
    </row>
    <row r="1214" spans="1:7" ht="264" customHeight="1">
      <c r="A1214" s="2">
        <v>405</v>
      </c>
      <c r="B1214" s="3" t="s">
        <v>574</v>
      </c>
      <c r="C1214">
        <f>IMAGE("https://raw.githubusercontent.com/stautonico/tcg-livingdex/main/images/405/1.png", 2)</f>
        <v>0</v>
      </c>
      <c r="G1214" t="s">
        <v>9</v>
      </c>
    </row>
    <row r="1215" spans="1:7">
      <c r="C1215" s="4" t="s">
        <v>8</v>
      </c>
    </row>
    <row r="1217" spans="1:7" ht="264" customHeight="1">
      <c r="A1217" s="2">
        <v>406</v>
      </c>
      <c r="B1217" s="3" t="s">
        <v>575</v>
      </c>
      <c r="C1217">
        <f>IMAGE("https://raw.githubusercontent.com/stautonico/tcg-livingdex/main/images/406/1.png", 2)</f>
        <v>0</v>
      </c>
      <c r="G1217" t="s">
        <v>9</v>
      </c>
    </row>
    <row r="1218" spans="1:7">
      <c r="C1218" s="4" t="s">
        <v>8</v>
      </c>
    </row>
    <row r="1220" spans="1:7" ht="264" customHeight="1">
      <c r="A1220" s="2">
        <v>407</v>
      </c>
      <c r="B1220" s="3" t="s">
        <v>576</v>
      </c>
      <c r="C1220">
        <f>IMAGE("https://raw.githubusercontent.com/stautonico/tcg-livingdex/main/images/407/1.png", 2)</f>
        <v>0</v>
      </c>
      <c r="G1220" t="s">
        <v>9</v>
      </c>
    </row>
    <row r="1221" spans="1:7">
      <c r="C1221" s="4" t="s">
        <v>577</v>
      </c>
    </row>
    <row r="1223" spans="1:7" ht="264" customHeight="1">
      <c r="A1223" s="2">
        <v>408</v>
      </c>
      <c r="B1223" s="3" t="s">
        <v>578</v>
      </c>
      <c r="C1223">
        <f>IMAGE("https://raw.githubusercontent.com/stautonico/tcg-livingdex/main/images/408/1.png", 2)</f>
        <v>0</v>
      </c>
      <c r="G1223" t="s">
        <v>9</v>
      </c>
    </row>
    <row r="1224" spans="1:7">
      <c r="C1224" s="4" t="s">
        <v>8</v>
      </c>
    </row>
    <row r="1226" spans="1:7" ht="264" customHeight="1">
      <c r="A1226" s="2">
        <v>409</v>
      </c>
      <c r="B1226" s="3" t="s">
        <v>579</v>
      </c>
      <c r="C1226">
        <f>IMAGE("https://raw.githubusercontent.com/stautonico/tcg-livingdex/main/images/409/1.png", 2)</f>
        <v>0</v>
      </c>
      <c r="G1226" t="s">
        <v>9</v>
      </c>
    </row>
    <row r="1227" spans="1:7">
      <c r="C1227" s="4" t="s">
        <v>8</v>
      </c>
    </row>
    <row r="1229" spans="1:7" ht="264" customHeight="1">
      <c r="A1229" s="2">
        <v>410</v>
      </c>
      <c r="B1229" s="3" t="s">
        <v>580</v>
      </c>
      <c r="C1229">
        <f>IMAGE("https://raw.githubusercontent.com/stautonico/tcg-livingdex/main/images/410/1.png", 2)</f>
        <v>0</v>
      </c>
      <c r="G1229" t="s">
        <v>9</v>
      </c>
    </row>
    <row r="1230" spans="1:7">
      <c r="C1230" s="4" t="s">
        <v>8</v>
      </c>
    </row>
    <row r="1232" spans="1:7" ht="264" customHeight="1">
      <c r="A1232" s="2">
        <v>411</v>
      </c>
      <c r="B1232" s="3" t="s">
        <v>581</v>
      </c>
      <c r="C1232">
        <f>IMAGE("https://raw.githubusercontent.com/stautonico/tcg-livingdex/main/images/411/1.png", 2)</f>
        <v>0</v>
      </c>
      <c r="G1232" t="s">
        <v>9</v>
      </c>
    </row>
    <row r="1233" spans="1:7">
      <c r="C1233" s="4" t="s">
        <v>8</v>
      </c>
    </row>
    <row r="1235" spans="1:7" ht="264" customHeight="1">
      <c r="A1235" s="2">
        <v>412</v>
      </c>
      <c r="B1235" s="3" t="s">
        <v>582</v>
      </c>
      <c r="C1235">
        <f>IMAGE("https://raw.githubusercontent.com/stautonico/tcg-livingdex/main/images/412/1.png", 2)</f>
        <v>0</v>
      </c>
      <c r="D1235">
        <f>IMAGE("https://raw.githubusercontent.com/stautonico/tcg-livingdex/main/images/412/2.png", 2)</f>
        <v>0</v>
      </c>
      <c r="E1235">
        <f>IMAGE("https://raw.githubusercontent.com/stautonico/tcg-livingdex/main/images/412/3.png", 2)</f>
        <v>0</v>
      </c>
      <c r="F1235">
        <f>IMAGE("https://raw.githubusercontent.com/stautonico/tcg-livingdex/main/images/412/4.png", 2)</f>
        <v>0</v>
      </c>
      <c r="G1235" t="s">
        <v>9</v>
      </c>
    </row>
    <row r="1236" spans="1:7">
      <c r="C1236" s="4" t="s">
        <v>583</v>
      </c>
      <c r="D1236" s="4" t="s">
        <v>584</v>
      </c>
      <c r="E1236" s="4" t="s">
        <v>585</v>
      </c>
      <c r="F1236" s="4" t="s">
        <v>586</v>
      </c>
    </row>
    <row r="1238" spans="1:7" ht="264" customHeight="1">
      <c r="A1238" s="2">
        <v>413</v>
      </c>
      <c r="B1238" s="3" t="s">
        <v>587</v>
      </c>
      <c r="C1238">
        <f>IMAGE("https://raw.githubusercontent.com/stautonico/tcg-livingdex/main/images/413/1.png", 2)</f>
        <v>0</v>
      </c>
      <c r="G1238" t="s">
        <v>9</v>
      </c>
    </row>
    <row r="1239" spans="1:7">
      <c r="C1239" s="4" t="s">
        <v>8</v>
      </c>
    </row>
    <row r="1241" spans="1:7" ht="264" customHeight="1">
      <c r="A1241" s="2">
        <v>414</v>
      </c>
      <c r="B1241" s="3" t="s">
        <v>588</v>
      </c>
      <c r="C1241">
        <f>IMAGE("https://raw.githubusercontent.com/stautonico/tcg-livingdex/main/images/414/1.png", 2)</f>
        <v>0</v>
      </c>
      <c r="G1241" t="s">
        <v>9</v>
      </c>
    </row>
    <row r="1242" spans="1:7">
      <c r="C1242" s="4" t="s">
        <v>8</v>
      </c>
    </row>
    <row r="1244" spans="1:7" ht="264" customHeight="1">
      <c r="A1244" s="2">
        <v>415</v>
      </c>
      <c r="B1244" s="3" t="s">
        <v>589</v>
      </c>
      <c r="C1244">
        <f>IMAGE("https://raw.githubusercontent.com/stautonico/tcg-livingdex/main/images/415/1.png", 2)</f>
        <v>0</v>
      </c>
      <c r="G1244" t="s">
        <v>9</v>
      </c>
    </row>
    <row r="1245" spans="1:7">
      <c r="C1245" s="4" t="s">
        <v>8</v>
      </c>
    </row>
    <row r="1247" spans="1:7" ht="264" customHeight="1">
      <c r="A1247" s="2">
        <v>416</v>
      </c>
      <c r="B1247" s="3" t="s">
        <v>590</v>
      </c>
      <c r="C1247">
        <f>IMAGE("https://raw.githubusercontent.com/stautonico/tcg-livingdex/main/images/416/1.png", 2)</f>
        <v>0</v>
      </c>
      <c r="G1247" t="s">
        <v>9</v>
      </c>
    </row>
    <row r="1248" spans="1:7">
      <c r="C1248" s="4" t="s">
        <v>8</v>
      </c>
    </row>
    <row r="1250" spans="1:7" ht="264" customHeight="1">
      <c r="A1250" s="2">
        <v>417</v>
      </c>
      <c r="B1250" s="3" t="s">
        <v>591</v>
      </c>
      <c r="C1250">
        <f>IMAGE("https://raw.githubusercontent.com/stautonico/tcg-livingdex/main/images/417/1.png", 2)</f>
        <v>0</v>
      </c>
      <c r="G1250" t="s">
        <v>9</v>
      </c>
    </row>
    <row r="1251" spans="1:7">
      <c r="C1251" s="4" t="s">
        <v>8</v>
      </c>
    </row>
    <row r="1253" spans="1:7" ht="264" customHeight="1">
      <c r="A1253" s="2">
        <v>418</v>
      </c>
      <c r="B1253" s="3" t="s">
        <v>592</v>
      </c>
      <c r="C1253">
        <f>IMAGE("https://raw.githubusercontent.com/stautonico/tcg-livingdex/main/images/418/1.png", 2)</f>
        <v>0</v>
      </c>
      <c r="G1253" t="s">
        <v>9</v>
      </c>
    </row>
    <row r="1254" spans="1:7">
      <c r="C1254" s="4" t="s">
        <v>8</v>
      </c>
    </row>
    <row r="1256" spans="1:7" ht="264" customHeight="1">
      <c r="A1256" s="2">
        <v>419</v>
      </c>
      <c r="B1256" s="3" t="s">
        <v>593</v>
      </c>
      <c r="C1256">
        <f>IMAGE("https://raw.githubusercontent.com/stautonico/tcg-livingdex/main/images/419/1.png", 2)</f>
        <v>0</v>
      </c>
      <c r="G1256" t="s">
        <v>9</v>
      </c>
    </row>
    <row r="1257" spans="1:7">
      <c r="C1257" s="4" t="s">
        <v>8</v>
      </c>
    </row>
    <row r="1259" spans="1:7" ht="264" customHeight="1">
      <c r="A1259" s="2">
        <v>420</v>
      </c>
      <c r="B1259" s="3" t="s">
        <v>594</v>
      </c>
      <c r="C1259">
        <f>IMAGE("https://raw.githubusercontent.com/stautonico/tcg-livingdex/main/images/420/1.png", 2)</f>
        <v>0</v>
      </c>
      <c r="G1259" t="s">
        <v>9</v>
      </c>
    </row>
    <row r="1260" spans="1:7">
      <c r="C1260" s="4" t="s">
        <v>8</v>
      </c>
    </row>
    <row r="1262" spans="1:7" ht="264" customHeight="1">
      <c r="A1262" s="2">
        <v>421</v>
      </c>
      <c r="B1262" s="3" t="s">
        <v>595</v>
      </c>
      <c r="C1262">
        <f>IMAGE("https://raw.githubusercontent.com/stautonico/tcg-livingdex/main/images/421/1.png", 2)</f>
        <v>0</v>
      </c>
      <c r="G1262" t="s">
        <v>9</v>
      </c>
    </row>
    <row r="1263" spans="1:7">
      <c r="C1263" s="4" t="s">
        <v>8</v>
      </c>
    </row>
    <row r="1265" spans="1:7" ht="264" customHeight="1">
      <c r="A1265" s="2">
        <v>422</v>
      </c>
      <c r="B1265" s="3" t="s">
        <v>596</v>
      </c>
      <c r="C1265">
        <f>IMAGE("https://raw.githubusercontent.com/stautonico/tcg-livingdex/main/images/422/1.png", 2)</f>
        <v>0</v>
      </c>
      <c r="G1265" t="s">
        <v>9</v>
      </c>
    </row>
    <row r="1266" spans="1:7">
      <c r="C1266" s="4" t="s">
        <v>8</v>
      </c>
    </row>
    <row r="1268" spans="1:7" ht="264" customHeight="1">
      <c r="A1268" s="2">
        <v>423</v>
      </c>
      <c r="B1268" s="3" t="s">
        <v>597</v>
      </c>
      <c r="C1268">
        <f>IMAGE("https://raw.githubusercontent.com/stautonico/tcg-livingdex/main/images/423/1.png", 2)</f>
        <v>0</v>
      </c>
      <c r="G1268" t="s">
        <v>9</v>
      </c>
    </row>
    <row r="1269" spans="1:7">
      <c r="C1269" s="4" t="s">
        <v>8</v>
      </c>
    </row>
    <row r="1271" spans="1:7" ht="264" customHeight="1">
      <c r="A1271" s="2">
        <v>424</v>
      </c>
      <c r="B1271" s="3" t="s">
        <v>598</v>
      </c>
      <c r="C1271">
        <f>IMAGE("https://raw.githubusercontent.com/stautonico/tcg-livingdex/main/images/424/1.png", 2)</f>
        <v>0</v>
      </c>
      <c r="G1271" t="s">
        <v>9</v>
      </c>
    </row>
    <row r="1272" spans="1:7">
      <c r="C1272" s="4" t="s">
        <v>8</v>
      </c>
    </row>
    <row r="1274" spans="1:7" ht="264" customHeight="1">
      <c r="A1274" s="2">
        <v>425</v>
      </c>
      <c r="B1274" s="3" t="s">
        <v>599</v>
      </c>
      <c r="C1274">
        <f>IMAGE("https://raw.githubusercontent.com/stautonico/tcg-livingdex/main/images/425/1.png", 2)</f>
        <v>0</v>
      </c>
      <c r="G1274" t="s">
        <v>9</v>
      </c>
    </row>
    <row r="1275" spans="1:7">
      <c r="C1275" s="4" t="s">
        <v>8</v>
      </c>
    </row>
    <row r="1277" spans="1:7" ht="264" customHeight="1">
      <c r="A1277" s="2">
        <v>426</v>
      </c>
      <c r="B1277" s="3" t="s">
        <v>600</v>
      </c>
      <c r="C1277">
        <f>IMAGE("https://raw.githubusercontent.com/stautonico/tcg-livingdex/main/images/426/1.png", 2)</f>
        <v>0</v>
      </c>
      <c r="G1277" t="s">
        <v>9</v>
      </c>
    </row>
    <row r="1278" spans="1:7">
      <c r="C1278" s="4" t="s">
        <v>8</v>
      </c>
    </row>
    <row r="1280" spans="1:7" ht="264" customHeight="1">
      <c r="A1280" s="2">
        <v>427</v>
      </c>
      <c r="B1280" s="3" t="s">
        <v>601</v>
      </c>
      <c r="C1280">
        <f>IMAGE("https://raw.githubusercontent.com/stautonico/tcg-livingdex/main/images/427/1.png", 2)</f>
        <v>0</v>
      </c>
      <c r="G1280" t="s">
        <v>9</v>
      </c>
    </row>
    <row r="1281" spans="1:7">
      <c r="C1281" s="4" t="s">
        <v>8</v>
      </c>
    </row>
    <row r="1283" spans="1:7" ht="264" customHeight="1">
      <c r="A1283" s="2">
        <v>428</v>
      </c>
      <c r="B1283" s="3" t="s">
        <v>602</v>
      </c>
      <c r="C1283">
        <f>IMAGE("https://raw.githubusercontent.com/stautonico/tcg-livingdex/main/images/428/1.png", 2)</f>
        <v>0</v>
      </c>
      <c r="G1283" t="s">
        <v>9</v>
      </c>
    </row>
    <row r="1284" spans="1:7">
      <c r="C1284" s="4" t="s">
        <v>8</v>
      </c>
    </row>
    <row r="1286" spans="1:7" ht="264" customHeight="1">
      <c r="A1286" s="2">
        <v>429</v>
      </c>
      <c r="B1286" s="3" t="s">
        <v>603</v>
      </c>
      <c r="C1286">
        <f>IMAGE("https://raw.githubusercontent.com/stautonico/tcg-livingdex/main/images/429/1.png", 2)</f>
        <v>0</v>
      </c>
      <c r="D1286">
        <f>IMAGE("https://raw.githubusercontent.com/stautonico/tcg-livingdex/main/images/429/2.png", 2)</f>
        <v>0</v>
      </c>
      <c r="E1286">
        <f>IMAGE("https://raw.githubusercontent.com/stautonico/tcg-livingdex/main/images/429/3.png", 2)</f>
        <v>0</v>
      </c>
      <c r="F1286">
        <f>IMAGE("https://raw.githubusercontent.com/stautonico/tcg-livingdex/main/images/429/4.png", 2)</f>
        <v>0</v>
      </c>
      <c r="G1286" t="s">
        <v>9</v>
      </c>
    </row>
    <row r="1287" spans="1:7">
      <c r="C1287" s="4" t="s">
        <v>604</v>
      </c>
      <c r="D1287" s="4" t="s">
        <v>605</v>
      </c>
      <c r="E1287" s="4" t="s">
        <v>606</v>
      </c>
      <c r="F1287" s="4" t="s">
        <v>607</v>
      </c>
    </row>
    <row r="1289" spans="1:7" ht="264" customHeight="1">
      <c r="A1289" s="2">
        <v>430</v>
      </c>
      <c r="B1289" s="3" t="s">
        <v>608</v>
      </c>
      <c r="C1289">
        <f>IMAGE("https://raw.githubusercontent.com/stautonico/tcg-livingdex/main/images/430/1.png", 2)</f>
        <v>0</v>
      </c>
      <c r="G1289" t="s">
        <v>9</v>
      </c>
    </row>
    <row r="1290" spans="1:7">
      <c r="C1290" s="4" t="s">
        <v>8</v>
      </c>
    </row>
    <row r="1292" spans="1:7" ht="264" customHeight="1">
      <c r="A1292" s="2">
        <v>431</v>
      </c>
      <c r="B1292" s="3" t="s">
        <v>609</v>
      </c>
      <c r="C1292">
        <f>IMAGE("https://raw.githubusercontent.com/stautonico/tcg-livingdex/main/images/431/1.png", 2)</f>
        <v>0</v>
      </c>
      <c r="G1292" t="s">
        <v>9</v>
      </c>
    </row>
    <row r="1293" spans="1:7">
      <c r="C1293" s="4" t="s">
        <v>8</v>
      </c>
    </row>
    <row r="1295" spans="1:7" ht="264" customHeight="1">
      <c r="A1295" s="2">
        <v>432</v>
      </c>
      <c r="B1295" s="3" t="s">
        <v>610</v>
      </c>
      <c r="C1295">
        <f>IMAGE("https://raw.githubusercontent.com/stautonico/tcg-livingdex/main/images/432/1.png", 2)</f>
        <v>0</v>
      </c>
      <c r="G1295" t="s">
        <v>9</v>
      </c>
    </row>
    <row r="1296" spans="1:7">
      <c r="C1296" s="4" t="s">
        <v>8</v>
      </c>
    </row>
    <row r="1298" spans="1:7" ht="264" customHeight="1">
      <c r="A1298" s="2">
        <v>433</v>
      </c>
      <c r="B1298" s="3" t="s">
        <v>611</v>
      </c>
      <c r="C1298">
        <f>IMAGE("https://raw.githubusercontent.com/stautonico/tcg-livingdex/main/images/433/1.png", 2)</f>
        <v>0</v>
      </c>
      <c r="G1298" t="s">
        <v>9</v>
      </c>
    </row>
    <row r="1299" spans="1:7">
      <c r="C1299" s="4" t="s">
        <v>8</v>
      </c>
    </row>
    <row r="1301" spans="1:7" ht="264" customHeight="1">
      <c r="A1301" s="2">
        <v>434</v>
      </c>
      <c r="B1301" s="3" t="s">
        <v>612</v>
      </c>
      <c r="C1301">
        <f>IMAGE("https://raw.githubusercontent.com/stautonico/tcg-livingdex/main/images/434/1.png", 2)</f>
        <v>0</v>
      </c>
      <c r="G1301" t="s">
        <v>9</v>
      </c>
    </row>
    <row r="1302" spans="1:7">
      <c r="C1302" s="4" t="s">
        <v>8</v>
      </c>
    </row>
    <row r="1304" spans="1:7" ht="264" customHeight="1">
      <c r="A1304" s="2">
        <v>435</v>
      </c>
      <c r="B1304" s="3" t="s">
        <v>613</v>
      </c>
      <c r="C1304">
        <f>IMAGE("https://raw.githubusercontent.com/stautonico/tcg-livingdex/main/images/435/1.png", 2)</f>
        <v>0</v>
      </c>
      <c r="D1304">
        <f>IMAGE("https://raw.githubusercontent.com/stautonico/tcg-livingdex/main/images/435/2.png", 2)</f>
        <v>0</v>
      </c>
      <c r="E1304">
        <f>IMAGE("https://raw.githubusercontent.com/stautonico/tcg-livingdex/main/images/435/3.png", 2)</f>
        <v>0</v>
      </c>
      <c r="F1304">
        <f>IMAGE("https://raw.githubusercontent.com/stautonico/tcg-livingdex/main/images/435/4.png", 2)</f>
        <v>0</v>
      </c>
      <c r="G1304" t="s">
        <v>9</v>
      </c>
    </row>
    <row r="1305" spans="1:7">
      <c r="C1305" s="4" t="s">
        <v>614</v>
      </c>
      <c r="D1305" s="4" t="s">
        <v>615</v>
      </c>
      <c r="E1305" s="4" t="s">
        <v>616</v>
      </c>
      <c r="F1305" s="4" t="s">
        <v>617</v>
      </c>
    </row>
    <row r="1307" spans="1:7" ht="264" customHeight="1">
      <c r="A1307" s="2">
        <v>436</v>
      </c>
      <c r="B1307" s="3" t="s">
        <v>618</v>
      </c>
      <c r="C1307">
        <f>IMAGE("https://raw.githubusercontent.com/stautonico/tcg-livingdex/main/images/436/1.png", 2)</f>
        <v>0</v>
      </c>
      <c r="G1307" t="s">
        <v>9</v>
      </c>
    </row>
    <row r="1308" spans="1:7">
      <c r="C1308" s="4" t="s">
        <v>8</v>
      </c>
    </row>
    <row r="1310" spans="1:7" ht="264" customHeight="1">
      <c r="A1310" s="2">
        <v>437</v>
      </c>
      <c r="B1310" s="3" t="s">
        <v>619</v>
      </c>
      <c r="C1310">
        <f>IMAGE("https://raw.githubusercontent.com/stautonico/tcg-livingdex/main/images/437/1.png", 2)</f>
        <v>0</v>
      </c>
      <c r="G1310" t="s">
        <v>9</v>
      </c>
    </row>
    <row r="1311" spans="1:7">
      <c r="C1311" s="4" t="s">
        <v>8</v>
      </c>
    </row>
    <row r="1313" spans="1:7" ht="264" customHeight="1">
      <c r="A1313" s="2">
        <v>438</v>
      </c>
      <c r="B1313" s="3" t="s">
        <v>620</v>
      </c>
      <c r="C1313">
        <f>IMAGE("https://raw.githubusercontent.com/stautonico/tcg-livingdex/main/images/438/1.png", 2)</f>
        <v>0</v>
      </c>
      <c r="G1313" t="s">
        <v>9</v>
      </c>
    </row>
    <row r="1314" spans="1:7">
      <c r="C1314" s="4" t="s">
        <v>8</v>
      </c>
    </row>
    <row r="1316" spans="1:7" ht="264" customHeight="1">
      <c r="A1316" s="2">
        <v>439</v>
      </c>
      <c r="B1316" s="3" t="s">
        <v>621</v>
      </c>
      <c r="C1316">
        <f>IMAGE("https://raw.githubusercontent.com/stautonico/tcg-livingdex/main/images/439/1.png", 2)</f>
        <v>0</v>
      </c>
      <c r="G1316" t="s">
        <v>9</v>
      </c>
    </row>
    <row r="1317" spans="1:7">
      <c r="C1317" s="4" t="s">
        <v>8</v>
      </c>
    </row>
    <row r="1319" spans="1:7" ht="264" customHeight="1">
      <c r="A1319" s="2">
        <v>440</v>
      </c>
      <c r="B1319" s="3" t="s">
        <v>622</v>
      </c>
      <c r="C1319">
        <f>IMAGE("https://raw.githubusercontent.com/stautonico/tcg-livingdex/main/images/440/1.png", 2)</f>
        <v>0</v>
      </c>
      <c r="G1319" t="s">
        <v>9</v>
      </c>
    </row>
    <row r="1320" spans="1:7">
      <c r="C1320" s="4" t="s">
        <v>8</v>
      </c>
    </row>
    <row r="1322" spans="1:7" ht="264" customHeight="1">
      <c r="A1322" s="2">
        <v>441</v>
      </c>
      <c r="B1322" s="3" t="s">
        <v>623</v>
      </c>
      <c r="C1322">
        <f>IMAGE("https://raw.githubusercontent.com/stautonico/tcg-livingdex/main/images/441/1.png", 2)</f>
        <v>0</v>
      </c>
      <c r="G1322" t="s">
        <v>9</v>
      </c>
    </row>
    <row r="1323" spans="1:7">
      <c r="C1323" s="4" t="s">
        <v>8</v>
      </c>
    </row>
    <row r="1325" spans="1:7" ht="264" customHeight="1">
      <c r="A1325" s="2">
        <v>442</v>
      </c>
      <c r="B1325" s="3" t="s">
        <v>624</v>
      </c>
      <c r="C1325">
        <f>IMAGE("https://raw.githubusercontent.com/stautonico/tcg-livingdex/main/images/442/1.png", 2)</f>
        <v>0</v>
      </c>
      <c r="G1325" t="s">
        <v>9</v>
      </c>
    </row>
    <row r="1326" spans="1:7">
      <c r="C1326" s="4" t="s">
        <v>8</v>
      </c>
    </row>
    <row r="1328" spans="1:7" ht="264" customHeight="1">
      <c r="A1328" s="2">
        <v>443</v>
      </c>
      <c r="B1328" s="3" t="s">
        <v>625</v>
      </c>
      <c r="C1328">
        <f>IMAGE("https://raw.githubusercontent.com/stautonico/tcg-livingdex/main/images/443/1.png", 2)</f>
        <v>0</v>
      </c>
      <c r="G1328" t="s">
        <v>9</v>
      </c>
    </row>
    <row r="1329" spans="1:7">
      <c r="C1329" s="4" t="s">
        <v>8</v>
      </c>
    </row>
    <row r="1331" spans="1:7" ht="264" customHeight="1">
      <c r="A1331" s="2">
        <v>444</v>
      </c>
      <c r="B1331" s="3" t="s">
        <v>626</v>
      </c>
      <c r="C1331">
        <f>IMAGE("https://raw.githubusercontent.com/stautonico/tcg-livingdex/main/images/444/1.png", 2)</f>
        <v>0</v>
      </c>
      <c r="D1331">
        <f>IMAGE("https://raw.githubusercontent.com/stautonico/tcg-livingdex/main/images/444/2.png", 2)</f>
        <v>0</v>
      </c>
      <c r="E1331">
        <f>IMAGE("https://raw.githubusercontent.com/stautonico/tcg-livingdex/main/images/444/3.png", 2)</f>
        <v>0</v>
      </c>
      <c r="F1331">
        <f>IMAGE("https://raw.githubusercontent.com/stautonico/tcg-livingdex/main/images/444/4.png", 2)</f>
        <v>0</v>
      </c>
      <c r="G1331" t="s">
        <v>9</v>
      </c>
    </row>
    <row r="1332" spans="1:7">
      <c r="C1332" s="4" t="s">
        <v>627</v>
      </c>
      <c r="D1332" s="4" t="s">
        <v>628</v>
      </c>
      <c r="E1332" s="4" t="s">
        <v>629</v>
      </c>
      <c r="F1332" s="4" t="s">
        <v>630</v>
      </c>
    </row>
    <row r="1334" spans="1:7" ht="264" customHeight="1">
      <c r="A1334" s="2">
        <v>445</v>
      </c>
      <c r="B1334" s="3" t="s">
        <v>631</v>
      </c>
      <c r="C1334">
        <f>IMAGE("https://raw.githubusercontent.com/stautonico/tcg-livingdex/main/images/445/1.png", 2)</f>
        <v>0</v>
      </c>
      <c r="D1334">
        <f>IMAGE("https://raw.githubusercontent.com/stautonico/tcg-livingdex/main/images/445/2.png", 2)</f>
        <v>0</v>
      </c>
      <c r="E1334">
        <f>IMAGE("https://raw.githubusercontent.com/stautonico/tcg-livingdex/main/images/445/3.png", 2)</f>
        <v>0</v>
      </c>
      <c r="F1334">
        <f>IMAGE("https://raw.githubusercontent.com/stautonico/tcg-livingdex/main/images/445/4.png", 2)</f>
        <v>0</v>
      </c>
      <c r="G1334" t="s">
        <v>9</v>
      </c>
    </row>
    <row r="1335" spans="1:7">
      <c r="C1335" s="4" t="s">
        <v>632</v>
      </c>
      <c r="D1335" s="4" t="s">
        <v>633</v>
      </c>
      <c r="E1335" s="4" t="s">
        <v>634</v>
      </c>
      <c r="F1335" s="4" t="s">
        <v>635</v>
      </c>
    </row>
    <row r="1337" spans="1:7" ht="264" customHeight="1">
      <c r="A1337" s="2">
        <v>446</v>
      </c>
      <c r="B1337" s="3" t="s">
        <v>636</v>
      </c>
      <c r="C1337">
        <f>IMAGE("https://raw.githubusercontent.com/stautonico/tcg-livingdex/main/images/446/1.png", 2)</f>
        <v>0</v>
      </c>
      <c r="G1337" t="s">
        <v>9</v>
      </c>
    </row>
    <row r="1338" spans="1:7">
      <c r="C1338" s="4" t="s">
        <v>8</v>
      </c>
    </row>
    <row r="1340" spans="1:7" ht="264" customHeight="1">
      <c r="A1340" s="2">
        <v>447</v>
      </c>
      <c r="B1340" s="3" t="s">
        <v>637</v>
      </c>
      <c r="C1340">
        <f>IMAGE("https://raw.githubusercontent.com/stautonico/tcg-livingdex/main/images/447/1.png", 2)</f>
        <v>0</v>
      </c>
      <c r="G1340" t="s">
        <v>9</v>
      </c>
    </row>
    <row r="1341" spans="1:7">
      <c r="C1341" s="4" t="s">
        <v>8</v>
      </c>
    </row>
    <row r="1343" spans="1:7" ht="264" customHeight="1">
      <c r="A1343" s="2">
        <v>448</v>
      </c>
      <c r="B1343" s="3" t="s">
        <v>638</v>
      </c>
      <c r="C1343">
        <f>IMAGE("https://raw.githubusercontent.com/stautonico/tcg-livingdex/main/images/448/1.png", 2)</f>
        <v>0</v>
      </c>
      <c r="G1343" t="s">
        <v>9</v>
      </c>
    </row>
    <row r="1344" spans="1:7">
      <c r="C1344" s="4" t="s">
        <v>8</v>
      </c>
    </row>
    <row r="1346" spans="1:7" ht="264" customHeight="1">
      <c r="A1346" s="2">
        <v>449</v>
      </c>
      <c r="B1346" s="3" t="s">
        <v>639</v>
      </c>
      <c r="C1346">
        <f>IMAGE("https://raw.githubusercontent.com/stautonico/tcg-livingdex/main/images/449/1.png", 2)</f>
        <v>0</v>
      </c>
      <c r="G1346" t="s">
        <v>9</v>
      </c>
    </row>
    <row r="1347" spans="1:7">
      <c r="C1347" s="4" t="s">
        <v>8</v>
      </c>
    </row>
    <row r="1349" spans="1:7" ht="264" customHeight="1">
      <c r="A1349" s="2">
        <v>450</v>
      </c>
      <c r="B1349" s="3" t="s">
        <v>640</v>
      </c>
      <c r="C1349">
        <f>IMAGE("https://raw.githubusercontent.com/stautonico/tcg-livingdex/main/images/450/1.png", 2)</f>
        <v>0</v>
      </c>
      <c r="G1349" t="s">
        <v>9</v>
      </c>
    </row>
    <row r="1350" spans="1:7">
      <c r="C1350" s="4" t="s">
        <v>8</v>
      </c>
    </row>
    <row r="1352" spans="1:7" ht="264" customHeight="1">
      <c r="A1352" s="2">
        <v>451</v>
      </c>
      <c r="B1352" s="3" t="s">
        <v>641</v>
      </c>
      <c r="C1352">
        <f>IMAGE("https://raw.githubusercontent.com/stautonico/tcg-livingdex/main/images/451/1.png", 2)</f>
        <v>0</v>
      </c>
      <c r="G1352" t="s">
        <v>9</v>
      </c>
    </row>
    <row r="1353" spans="1:7">
      <c r="C1353" s="4" t="s">
        <v>8</v>
      </c>
    </row>
    <row r="1355" spans="1:7" ht="264" customHeight="1">
      <c r="A1355" s="2">
        <v>452</v>
      </c>
      <c r="B1355" s="3" t="s">
        <v>642</v>
      </c>
      <c r="C1355">
        <f>IMAGE("https://raw.githubusercontent.com/stautonico/tcg-livingdex/main/images/452/1.png", 2)</f>
        <v>0</v>
      </c>
      <c r="G1355" t="s">
        <v>9</v>
      </c>
    </row>
    <row r="1356" spans="1:7">
      <c r="C1356" s="4" t="s">
        <v>8</v>
      </c>
    </row>
    <row r="1358" spans="1:7" ht="264" customHeight="1">
      <c r="A1358" s="2">
        <v>453</v>
      </c>
      <c r="B1358" s="3" t="s">
        <v>643</v>
      </c>
      <c r="C1358">
        <f>IMAGE("https://raw.githubusercontent.com/stautonico/tcg-livingdex/main/images/453/1.png", 2)</f>
        <v>0</v>
      </c>
      <c r="G1358" t="s">
        <v>9</v>
      </c>
    </row>
    <row r="1359" spans="1:7">
      <c r="C1359" s="4" t="s">
        <v>8</v>
      </c>
    </row>
    <row r="1361" spans="1:7" ht="264" customHeight="1">
      <c r="A1361" s="2">
        <v>454</v>
      </c>
      <c r="B1361" s="3" t="s">
        <v>644</v>
      </c>
      <c r="C1361">
        <f>IMAGE("https://raw.githubusercontent.com/stautonico/tcg-livingdex/main/images/454/1.png", 2)</f>
        <v>0</v>
      </c>
      <c r="G1361" t="s">
        <v>9</v>
      </c>
    </row>
    <row r="1362" spans="1:7">
      <c r="C1362" s="4" t="s">
        <v>8</v>
      </c>
    </row>
    <row r="1364" spans="1:7" ht="264" customHeight="1">
      <c r="A1364" s="2">
        <v>455</v>
      </c>
      <c r="B1364" s="3" t="s">
        <v>645</v>
      </c>
      <c r="C1364">
        <f>IMAGE("https://raw.githubusercontent.com/stautonico/tcg-livingdex/main/images/455/1.png", 2)</f>
        <v>0</v>
      </c>
      <c r="G1364" t="s">
        <v>9</v>
      </c>
    </row>
    <row r="1365" spans="1:7">
      <c r="C1365" s="4" t="s">
        <v>8</v>
      </c>
    </row>
    <row r="1367" spans="1:7" ht="264" customHeight="1">
      <c r="A1367" s="2">
        <v>456</v>
      </c>
      <c r="B1367" s="3" t="s">
        <v>646</v>
      </c>
      <c r="C1367">
        <f>IMAGE("https://raw.githubusercontent.com/stautonico/tcg-livingdex/main/images/456/1.png", 2)</f>
        <v>0</v>
      </c>
      <c r="G1367" t="s">
        <v>9</v>
      </c>
    </row>
    <row r="1368" spans="1:7">
      <c r="C1368" s="4" t="s">
        <v>8</v>
      </c>
    </row>
    <row r="1370" spans="1:7" ht="264" customHeight="1">
      <c r="A1370" s="2">
        <v>457</v>
      </c>
      <c r="B1370" s="3" t="s">
        <v>647</v>
      </c>
      <c r="C1370">
        <f>IMAGE("https://raw.githubusercontent.com/stautonico/tcg-livingdex/main/images/457/1.png", 2)</f>
        <v>0</v>
      </c>
      <c r="G1370" t="s">
        <v>9</v>
      </c>
    </row>
    <row r="1371" spans="1:7">
      <c r="C1371" s="4" t="s">
        <v>8</v>
      </c>
    </row>
    <row r="1373" spans="1:7" ht="264" customHeight="1">
      <c r="A1373" s="2">
        <v>458</v>
      </c>
      <c r="B1373" s="3" t="s">
        <v>648</v>
      </c>
      <c r="C1373">
        <f>IMAGE("https://raw.githubusercontent.com/stautonico/tcg-livingdex/main/images/458/1.png", 2)</f>
        <v>0</v>
      </c>
      <c r="G1373" t="s">
        <v>9</v>
      </c>
    </row>
    <row r="1374" spans="1:7">
      <c r="C1374" s="4" t="s">
        <v>8</v>
      </c>
    </row>
    <row r="1376" spans="1:7" ht="264" customHeight="1">
      <c r="A1376" s="2">
        <v>459</v>
      </c>
      <c r="B1376" s="3" t="s">
        <v>649</v>
      </c>
      <c r="C1376">
        <f>IMAGE("https://raw.githubusercontent.com/stautonico/tcg-livingdex/main/images/459/1.png", 2)</f>
        <v>0</v>
      </c>
      <c r="D1376">
        <f>IMAGE("https://raw.githubusercontent.com/stautonico/tcg-livingdex/main/images/459/2.png", 2)</f>
        <v>0</v>
      </c>
      <c r="E1376">
        <f>IMAGE("https://raw.githubusercontent.com/stautonico/tcg-livingdex/main/images/459/3.png", 2)</f>
        <v>0</v>
      </c>
      <c r="F1376">
        <f>IMAGE("https://raw.githubusercontent.com/stautonico/tcg-livingdex/main/images/459/4.png", 2)</f>
        <v>0</v>
      </c>
      <c r="G1376" t="s">
        <v>9</v>
      </c>
    </row>
    <row r="1377" spans="1:7">
      <c r="C1377" s="4" t="s">
        <v>650</v>
      </c>
      <c r="D1377" s="4" t="s">
        <v>651</v>
      </c>
      <c r="E1377" s="4" t="s">
        <v>652</v>
      </c>
      <c r="F1377" s="4" t="s">
        <v>653</v>
      </c>
    </row>
    <row r="1379" spans="1:7" ht="264" customHeight="1">
      <c r="A1379" s="2">
        <v>460</v>
      </c>
      <c r="B1379" s="3" t="s">
        <v>654</v>
      </c>
      <c r="C1379">
        <f>IMAGE("https://raw.githubusercontent.com/stautonico/tcg-livingdex/main/images/460/1.png", 2)</f>
        <v>0</v>
      </c>
      <c r="G1379" t="s">
        <v>9</v>
      </c>
    </row>
    <row r="1380" spans="1:7">
      <c r="C1380" s="4" t="s">
        <v>8</v>
      </c>
    </row>
    <row r="1382" spans="1:7" ht="264" customHeight="1">
      <c r="A1382" s="2">
        <v>461</v>
      </c>
      <c r="B1382" s="3" t="s">
        <v>655</v>
      </c>
      <c r="C1382">
        <f>IMAGE("https://raw.githubusercontent.com/stautonico/tcg-livingdex/main/images/461/1.png", 2)</f>
        <v>0</v>
      </c>
      <c r="G1382" t="s">
        <v>9</v>
      </c>
    </row>
    <row r="1383" spans="1:7">
      <c r="C1383" s="4" t="s">
        <v>8</v>
      </c>
    </row>
    <row r="1385" spans="1:7" ht="264" customHeight="1">
      <c r="A1385" s="2">
        <v>462</v>
      </c>
      <c r="B1385" s="3" t="s">
        <v>656</v>
      </c>
      <c r="C1385">
        <f>IMAGE("https://raw.githubusercontent.com/stautonico/tcg-livingdex/main/images/462/1.png", 2)</f>
        <v>0</v>
      </c>
      <c r="G1385" t="s">
        <v>9</v>
      </c>
    </row>
    <row r="1386" spans="1:7">
      <c r="C1386" s="4" t="s">
        <v>8</v>
      </c>
    </row>
    <row r="1388" spans="1:7" ht="264" customHeight="1">
      <c r="A1388" s="2">
        <v>463</v>
      </c>
      <c r="B1388" s="3" t="s">
        <v>657</v>
      </c>
      <c r="C1388">
        <f>IMAGE("https://raw.githubusercontent.com/stautonico/tcg-livingdex/main/images/463/1.png", 2)</f>
        <v>0</v>
      </c>
      <c r="G1388" t="s">
        <v>9</v>
      </c>
    </row>
    <row r="1389" spans="1:7">
      <c r="C1389" s="4" t="s">
        <v>8</v>
      </c>
    </row>
    <row r="1391" spans="1:7" ht="264" customHeight="1">
      <c r="A1391" s="2">
        <v>464</v>
      </c>
      <c r="B1391" s="3" t="s">
        <v>658</v>
      </c>
      <c r="C1391">
        <f>IMAGE("https://raw.githubusercontent.com/stautonico/tcg-livingdex/main/images/464/1.png", 2)</f>
        <v>0</v>
      </c>
      <c r="G1391" t="s">
        <v>9</v>
      </c>
    </row>
    <row r="1392" spans="1:7">
      <c r="C1392" s="4" t="s">
        <v>8</v>
      </c>
    </row>
    <row r="1394" spans="1:7" ht="264" customHeight="1">
      <c r="A1394" s="2">
        <v>465</v>
      </c>
      <c r="B1394" s="3" t="s">
        <v>659</v>
      </c>
      <c r="C1394">
        <f>IMAGE("https://raw.githubusercontent.com/stautonico/tcg-livingdex/main/images/465/1.png", 2)</f>
        <v>0</v>
      </c>
      <c r="G1394" t="s">
        <v>9</v>
      </c>
    </row>
    <row r="1395" spans="1:7">
      <c r="C1395" s="4" t="s">
        <v>8</v>
      </c>
    </row>
    <row r="1397" spans="1:7" ht="264" customHeight="1">
      <c r="A1397" s="2">
        <v>466</v>
      </c>
      <c r="B1397" s="3" t="s">
        <v>660</v>
      </c>
      <c r="C1397">
        <f>IMAGE("https://raw.githubusercontent.com/stautonico/tcg-livingdex/main/images/466/1.png", 2)</f>
        <v>0</v>
      </c>
      <c r="G1397" t="s">
        <v>9</v>
      </c>
    </row>
    <row r="1398" spans="1:7">
      <c r="C1398" s="4" t="s">
        <v>8</v>
      </c>
    </row>
    <row r="1400" spans="1:7" ht="264" customHeight="1">
      <c r="A1400" s="2">
        <v>467</v>
      </c>
      <c r="B1400" s="3" t="s">
        <v>661</v>
      </c>
      <c r="C1400">
        <f>IMAGE("https://raw.githubusercontent.com/stautonico/tcg-livingdex/main/images/467/1.png", 2)</f>
        <v>0</v>
      </c>
      <c r="G1400" t="s">
        <v>9</v>
      </c>
    </row>
    <row r="1401" spans="1:7">
      <c r="C1401" s="4" t="s">
        <v>8</v>
      </c>
    </row>
    <row r="1403" spans="1:7" ht="264" customHeight="1">
      <c r="A1403" s="2">
        <v>468</v>
      </c>
      <c r="B1403" s="3" t="s">
        <v>662</v>
      </c>
      <c r="C1403">
        <f>IMAGE("https://raw.githubusercontent.com/stautonico/tcg-livingdex/main/images/468/1.png", 2)</f>
        <v>0</v>
      </c>
      <c r="G1403" t="s">
        <v>9</v>
      </c>
    </row>
    <row r="1404" spans="1:7">
      <c r="C1404" s="4" t="s">
        <v>8</v>
      </c>
    </row>
    <row r="1406" spans="1:7" ht="264" customHeight="1">
      <c r="A1406" s="2">
        <v>469</v>
      </c>
      <c r="B1406" s="3" t="s">
        <v>663</v>
      </c>
      <c r="C1406">
        <f>IMAGE("https://raw.githubusercontent.com/stautonico/tcg-livingdex/main/images/469/1.png", 2)</f>
        <v>0</v>
      </c>
      <c r="G1406" t="s">
        <v>9</v>
      </c>
    </row>
    <row r="1407" spans="1:7">
      <c r="C1407" s="4" t="s">
        <v>8</v>
      </c>
    </row>
    <row r="1409" spans="1:7" ht="264" customHeight="1">
      <c r="A1409" s="2">
        <v>470</v>
      </c>
      <c r="B1409" s="3" t="s">
        <v>664</v>
      </c>
      <c r="C1409">
        <f>IMAGE("https://raw.githubusercontent.com/stautonico/tcg-livingdex/main/images/470/1.png", 2)</f>
        <v>0</v>
      </c>
      <c r="G1409" t="s">
        <v>9</v>
      </c>
    </row>
    <row r="1410" spans="1:7">
      <c r="C1410" s="4" t="s">
        <v>8</v>
      </c>
    </row>
    <row r="1412" spans="1:7" ht="264" customHeight="1">
      <c r="A1412" s="2">
        <v>471</v>
      </c>
      <c r="B1412" s="3" t="s">
        <v>665</v>
      </c>
      <c r="C1412">
        <f>IMAGE("https://raw.githubusercontent.com/stautonico/tcg-livingdex/main/images/471/1.png", 2)</f>
        <v>0</v>
      </c>
      <c r="G1412" t="s">
        <v>9</v>
      </c>
    </row>
    <row r="1413" spans="1:7">
      <c r="C1413" s="4" t="s">
        <v>8</v>
      </c>
    </row>
    <row r="1415" spans="1:7" ht="264" customHeight="1">
      <c r="A1415" s="2">
        <v>472</v>
      </c>
      <c r="B1415" s="3" t="s">
        <v>666</v>
      </c>
      <c r="C1415">
        <f>IMAGE("https://raw.githubusercontent.com/stautonico/tcg-livingdex/main/images/472/1.png", 2)</f>
        <v>0</v>
      </c>
      <c r="G1415" t="s">
        <v>9</v>
      </c>
    </row>
    <row r="1416" spans="1:7">
      <c r="C1416" s="4" t="s">
        <v>8</v>
      </c>
    </row>
    <row r="1418" spans="1:7" ht="264" customHeight="1">
      <c r="A1418" s="2">
        <v>473</v>
      </c>
      <c r="B1418" s="3" t="s">
        <v>667</v>
      </c>
      <c r="C1418">
        <f>IMAGE("https://raw.githubusercontent.com/stautonico/tcg-livingdex/main/images/473/1.png", 2)</f>
        <v>0</v>
      </c>
      <c r="G1418" t="s">
        <v>9</v>
      </c>
    </row>
    <row r="1419" spans="1:7">
      <c r="C1419" s="4" t="s">
        <v>8</v>
      </c>
    </row>
    <row r="1421" spans="1:7" ht="264" customHeight="1">
      <c r="A1421" s="2">
        <v>474</v>
      </c>
      <c r="B1421" s="3" t="s">
        <v>668</v>
      </c>
      <c r="C1421">
        <f>IMAGE("https://raw.githubusercontent.com/stautonico/tcg-livingdex/main/images/474/1.png", 2)</f>
        <v>0</v>
      </c>
      <c r="G1421" t="s">
        <v>9</v>
      </c>
    </row>
    <row r="1422" spans="1:7">
      <c r="C1422" s="4" t="s">
        <v>8</v>
      </c>
    </row>
    <row r="1424" spans="1:7" ht="264" customHeight="1">
      <c r="A1424" s="2">
        <v>475</v>
      </c>
      <c r="B1424" s="3" t="s">
        <v>669</v>
      </c>
      <c r="C1424">
        <f>IMAGE("https://raw.githubusercontent.com/stautonico/tcg-livingdex/main/images/475/1.png", 2)</f>
        <v>0</v>
      </c>
      <c r="D1424">
        <f>IMAGE("https://raw.githubusercontent.com/stautonico/tcg-livingdex/main/images/475/2.png", 2)</f>
        <v>0</v>
      </c>
      <c r="E1424">
        <f>IMAGE("https://raw.githubusercontent.com/stautonico/tcg-livingdex/main/images/475/3.png", 2)</f>
        <v>0</v>
      </c>
      <c r="F1424">
        <f>IMAGE("https://raw.githubusercontent.com/stautonico/tcg-livingdex/main/images/475/4.png", 2)</f>
        <v>0</v>
      </c>
      <c r="G1424" t="s">
        <v>9</v>
      </c>
    </row>
    <row r="1425" spans="1:7">
      <c r="C1425" s="4" t="s">
        <v>670</v>
      </c>
      <c r="D1425" s="4" t="s">
        <v>671</v>
      </c>
      <c r="E1425" s="4" t="s">
        <v>672</v>
      </c>
      <c r="F1425" s="4" t="s">
        <v>673</v>
      </c>
    </row>
    <row r="1427" spans="1:7" ht="264" customHeight="1">
      <c r="A1427" s="2">
        <v>476</v>
      </c>
      <c r="B1427" s="3" t="s">
        <v>674</v>
      </c>
      <c r="C1427">
        <f>IMAGE("https://raw.githubusercontent.com/stautonico/tcg-livingdex/main/images/476/1.png", 2)</f>
        <v>0</v>
      </c>
      <c r="G1427" t="s">
        <v>9</v>
      </c>
    </row>
    <row r="1428" spans="1:7">
      <c r="C1428" s="4" t="s">
        <v>675</v>
      </c>
    </row>
    <row r="1430" spans="1:7" ht="264" customHeight="1">
      <c r="A1430" s="2">
        <v>477</v>
      </c>
      <c r="B1430" s="3" t="s">
        <v>676</v>
      </c>
      <c r="C1430">
        <f>IMAGE("https://raw.githubusercontent.com/stautonico/tcg-livingdex/main/images/477/1.png", 2)</f>
        <v>0</v>
      </c>
      <c r="G1430" t="s">
        <v>9</v>
      </c>
    </row>
    <row r="1431" spans="1:7">
      <c r="C1431" s="4" t="s">
        <v>8</v>
      </c>
    </row>
    <row r="1433" spans="1:7" ht="264" customHeight="1">
      <c r="A1433" s="2">
        <v>478</v>
      </c>
      <c r="B1433" s="3" t="s">
        <v>677</v>
      </c>
      <c r="C1433">
        <f>IMAGE("https://raw.githubusercontent.com/stautonico/tcg-livingdex/main/images/478/1.png", 2)</f>
        <v>0</v>
      </c>
      <c r="D1433">
        <f>IMAGE("https://raw.githubusercontent.com/stautonico/tcg-livingdex/main/images/478/2.png", 2)</f>
        <v>0</v>
      </c>
      <c r="G1433" t="s">
        <v>9</v>
      </c>
    </row>
    <row r="1434" spans="1:7">
      <c r="C1434" s="4" t="s">
        <v>678</v>
      </c>
      <c r="D1434" s="4" t="s">
        <v>679</v>
      </c>
    </row>
    <row r="1436" spans="1:7" ht="264" customHeight="1">
      <c r="A1436" s="2">
        <v>479</v>
      </c>
      <c r="B1436" s="3" t="s">
        <v>680</v>
      </c>
      <c r="C1436">
        <f>IMAGE("https://raw.githubusercontent.com/stautonico/tcg-livingdex/main/images/479/1.png", 2)</f>
        <v>0</v>
      </c>
      <c r="G1436" t="s">
        <v>9</v>
      </c>
    </row>
    <row r="1437" spans="1:7">
      <c r="C1437" s="4" t="s">
        <v>8</v>
      </c>
    </row>
    <row r="1439" spans="1:7" ht="264" customHeight="1">
      <c r="A1439" s="2">
        <v>480</v>
      </c>
      <c r="B1439" s="3" t="s">
        <v>681</v>
      </c>
      <c r="C1439">
        <f>IMAGE("https://raw.githubusercontent.com/stautonico/tcg-livingdex/main/images/480/1.png", 2)</f>
        <v>0</v>
      </c>
      <c r="G1439" t="s">
        <v>9</v>
      </c>
    </row>
    <row r="1440" spans="1:7">
      <c r="C1440" s="4" t="s">
        <v>8</v>
      </c>
    </row>
    <row r="1442" spans="1:7" ht="264" customHeight="1">
      <c r="A1442" s="2">
        <v>481</v>
      </c>
      <c r="B1442" s="3" t="s">
        <v>682</v>
      </c>
      <c r="C1442">
        <f>IMAGE("https://raw.githubusercontent.com/stautonico/tcg-livingdex/main/images/481/1.png", 2)</f>
        <v>0</v>
      </c>
      <c r="G1442" t="s">
        <v>9</v>
      </c>
    </row>
    <row r="1443" spans="1:7">
      <c r="C1443" s="4" t="s">
        <v>8</v>
      </c>
    </row>
    <row r="1445" spans="1:7" ht="264" customHeight="1">
      <c r="A1445" s="2">
        <v>482</v>
      </c>
      <c r="B1445" s="3" t="s">
        <v>683</v>
      </c>
      <c r="C1445">
        <f>IMAGE("https://raw.githubusercontent.com/stautonico/tcg-livingdex/main/images/482/1.png", 2)</f>
        <v>0</v>
      </c>
      <c r="G1445" t="s">
        <v>9</v>
      </c>
    </row>
    <row r="1446" spans="1:7">
      <c r="C1446" s="4" t="s">
        <v>8</v>
      </c>
    </row>
    <row r="1448" spans="1:7" ht="264" customHeight="1">
      <c r="A1448" s="2">
        <v>483</v>
      </c>
      <c r="B1448" s="3" t="s">
        <v>684</v>
      </c>
      <c r="C1448">
        <f>IMAGE("https://raw.githubusercontent.com/stautonico/tcg-livingdex/main/images/483/1.png", 2)</f>
        <v>0</v>
      </c>
      <c r="G1448" t="s">
        <v>9</v>
      </c>
    </row>
    <row r="1449" spans="1:7">
      <c r="C1449" s="4" t="s">
        <v>8</v>
      </c>
    </row>
    <row r="1451" spans="1:7" ht="264" customHeight="1">
      <c r="A1451" s="2">
        <v>484</v>
      </c>
      <c r="B1451" s="3" t="s">
        <v>685</v>
      </c>
      <c r="C1451">
        <f>IMAGE("https://raw.githubusercontent.com/stautonico/tcg-livingdex/main/images/484/1.png", 2)</f>
        <v>0</v>
      </c>
      <c r="G1451" t="s">
        <v>9</v>
      </c>
    </row>
    <row r="1452" spans="1:7">
      <c r="C1452" s="4" t="s">
        <v>8</v>
      </c>
    </row>
    <row r="1454" spans="1:7" ht="264" customHeight="1">
      <c r="A1454" s="2">
        <v>485</v>
      </c>
      <c r="B1454" s="3" t="s">
        <v>686</v>
      </c>
      <c r="C1454">
        <f>IMAGE("https://raw.githubusercontent.com/stautonico/tcg-livingdex/main/images/485/1.png", 2)</f>
        <v>0</v>
      </c>
      <c r="G1454" t="s">
        <v>9</v>
      </c>
    </row>
    <row r="1455" spans="1:7">
      <c r="C1455" s="4" t="s">
        <v>8</v>
      </c>
    </row>
    <row r="1457" spans="1:7" ht="264" customHeight="1">
      <c r="A1457" s="2">
        <v>486</v>
      </c>
      <c r="B1457" s="3" t="s">
        <v>687</v>
      </c>
      <c r="C1457">
        <f>IMAGE("https://raw.githubusercontent.com/stautonico/tcg-livingdex/main/images/486/1.png", 2)</f>
        <v>0</v>
      </c>
      <c r="G1457" t="s">
        <v>9</v>
      </c>
    </row>
    <row r="1458" spans="1:7">
      <c r="C1458" s="4" t="s">
        <v>8</v>
      </c>
    </row>
    <row r="1460" spans="1:7" ht="264" customHeight="1">
      <c r="A1460" s="2">
        <v>487</v>
      </c>
      <c r="B1460" s="3" t="s">
        <v>688</v>
      </c>
      <c r="C1460">
        <f>IMAGE("https://raw.githubusercontent.com/stautonico/tcg-livingdex/main/images/487/1.png", 2)</f>
        <v>0</v>
      </c>
      <c r="G1460" t="s">
        <v>9</v>
      </c>
    </row>
    <row r="1461" spans="1:7">
      <c r="C1461" s="4" t="s">
        <v>8</v>
      </c>
    </row>
    <row r="1463" spans="1:7" ht="264" customHeight="1">
      <c r="A1463" s="2">
        <v>488</v>
      </c>
      <c r="B1463" s="3" t="s">
        <v>689</v>
      </c>
      <c r="C1463">
        <f>IMAGE("https://raw.githubusercontent.com/stautonico/tcg-livingdex/main/images/488/1.png", 2)</f>
        <v>0</v>
      </c>
      <c r="G1463" t="s">
        <v>9</v>
      </c>
    </row>
    <row r="1464" spans="1:7">
      <c r="C1464" s="4" t="s">
        <v>8</v>
      </c>
    </row>
    <row r="1466" spans="1:7" ht="264" customHeight="1">
      <c r="A1466" s="2">
        <v>489</v>
      </c>
      <c r="B1466" s="3" t="s">
        <v>690</v>
      </c>
      <c r="C1466">
        <f>IMAGE("https://raw.githubusercontent.com/stautonico/tcg-livingdex/main/images/489/1.png", 2)</f>
        <v>0</v>
      </c>
      <c r="D1466">
        <f>IMAGE("https://raw.githubusercontent.com/stautonico/tcg-livingdex/main/images/489/2.png", 2)</f>
        <v>0</v>
      </c>
      <c r="E1466">
        <f>IMAGE("https://raw.githubusercontent.com/stautonico/tcg-livingdex/main/images/489/3.png", 2)</f>
        <v>0</v>
      </c>
      <c r="F1466">
        <f>IMAGE("https://raw.githubusercontent.com/stautonico/tcg-livingdex/main/images/489/4.png", 2)</f>
        <v>0</v>
      </c>
      <c r="G1466" t="s">
        <v>9</v>
      </c>
    </row>
    <row r="1467" spans="1:7">
      <c r="C1467" s="4" t="s">
        <v>691</v>
      </c>
      <c r="D1467" s="4" t="s">
        <v>692</v>
      </c>
      <c r="E1467" s="4" t="s">
        <v>693</v>
      </c>
      <c r="F1467" s="4" t="s">
        <v>694</v>
      </c>
    </row>
    <row r="1469" spans="1:7" ht="264" customHeight="1">
      <c r="A1469" s="2">
        <v>490</v>
      </c>
      <c r="B1469" s="3" t="s">
        <v>695</v>
      </c>
      <c r="C1469">
        <f>IMAGE("https://raw.githubusercontent.com/stautonico/tcg-livingdex/main/images/490/1.png", 2)</f>
        <v>0</v>
      </c>
      <c r="G1469" t="s">
        <v>9</v>
      </c>
    </row>
    <row r="1470" spans="1:7">
      <c r="C1470" s="4" t="s">
        <v>8</v>
      </c>
    </row>
    <row r="1472" spans="1:7" ht="264" customHeight="1">
      <c r="A1472" s="2">
        <v>491</v>
      </c>
      <c r="B1472" s="3" t="s">
        <v>696</v>
      </c>
      <c r="C1472">
        <f>IMAGE("https://raw.githubusercontent.com/stautonico/tcg-livingdex/main/images/491/1.png", 2)</f>
        <v>0</v>
      </c>
      <c r="G1472" t="s">
        <v>9</v>
      </c>
    </row>
    <row r="1473" spans="1:7">
      <c r="C1473" s="4" t="s">
        <v>8</v>
      </c>
    </row>
    <row r="1475" spans="1:7" ht="264" customHeight="1">
      <c r="A1475" s="2">
        <v>492</v>
      </c>
      <c r="B1475" s="3" t="s">
        <v>697</v>
      </c>
      <c r="C1475">
        <f>IMAGE("https://raw.githubusercontent.com/stautonico/tcg-livingdex/main/images/492/1.png", 2)</f>
        <v>0</v>
      </c>
      <c r="G1475" t="s">
        <v>9</v>
      </c>
    </row>
    <row r="1476" spans="1:7">
      <c r="C1476" s="4" t="s">
        <v>8</v>
      </c>
    </row>
    <row r="1478" spans="1:7" ht="264" customHeight="1">
      <c r="A1478" s="2">
        <v>493</v>
      </c>
      <c r="B1478" s="3" t="s">
        <v>698</v>
      </c>
      <c r="C1478">
        <f>IMAGE("https://raw.githubusercontent.com/stautonico/tcg-livingdex/main/images/493/1.png", 2)</f>
        <v>0</v>
      </c>
      <c r="G1478" t="s">
        <v>9</v>
      </c>
    </row>
    <row r="1479" spans="1:7">
      <c r="C1479" s="4" t="s">
        <v>8</v>
      </c>
    </row>
    <row r="1481" spans="1:7" ht="264" customHeight="1">
      <c r="A1481" s="2">
        <v>494</v>
      </c>
      <c r="B1481" s="3" t="s">
        <v>699</v>
      </c>
      <c r="C1481">
        <f>IMAGE("https://raw.githubusercontent.com/stautonico/tcg-livingdex/main/images/494/1.png", 2)</f>
        <v>0</v>
      </c>
      <c r="G1481" t="s">
        <v>9</v>
      </c>
    </row>
    <row r="1482" spans="1:7">
      <c r="C1482" s="4" t="s">
        <v>8</v>
      </c>
    </row>
    <row r="1484" spans="1:7" ht="264" customHeight="1">
      <c r="A1484" s="2">
        <v>495</v>
      </c>
      <c r="B1484" s="3" t="s">
        <v>700</v>
      </c>
      <c r="C1484">
        <f>IMAGE("https://raw.githubusercontent.com/stautonico/tcg-livingdex/main/images/495/1.png", 2)</f>
        <v>0</v>
      </c>
      <c r="G1484" t="s">
        <v>9</v>
      </c>
    </row>
    <row r="1485" spans="1:7">
      <c r="C1485" s="4" t="s">
        <v>8</v>
      </c>
    </row>
    <row r="1487" spans="1:7" ht="264" customHeight="1">
      <c r="A1487" s="2">
        <v>496</v>
      </c>
      <c r="B1487" s="3" t="s">
        <v>701</v>
      </c>
      <c r="C1487">
        <f>IMAGE("https://raw.githubusercontent.com/stautonico/tcg-livingdex/main/images/496/1.png", 2)</f>
        <v>0</v>
      </c>
      <c r="G1487" t="s">
        <v>9</v>
      </c>
    </row>
    <row r="1488" spans="1:7">
      <c r="C1488" s="4" t="s">
        <v>8</v>
      </c>
    </row>
    <row r="1490" spans="1:7" ht="264" customHeight="1">
      <c r="A1490" s="2">
        <v>497</v>
      </c>
      <c r="B1490" s="3" t="s">
        <v>702</v>
      </c>
      <c r="C1490">
        <f>IMAGE("https://raw.githubusercontent.com/stautonico/tcg-livingdex/main/images/497/1.png", 2)</f>
        <v>0</v>
      </c>
      <c r="G1490" t="s">
        <v>9</v>
      </c>
    </row>
    <row r="1491" spans="1:7">
      <c r="C1491" s="4" t="s">
        <v>8</v>
      </c>
    </row>
    <row r="1493" spans="1:7" ht="264" customHeight="1">
      <c r="A1493" s="2">
        <v>498</v>
      </c>
      <c r="B1493" s="3" t="s">
        <v>703</v>
      </c>
      <c r="C1493">
        <f>IMAGE("https://raw.githubusercontent.com/stautonico/tcg-livingdex/main/images/498/1.png", 2)</f>
        <v>0</v>
      </c>
      <c r="G1493" t="s">
        <v>9</v>
      </c>
    </row>
    <row r="1494" spans="1:7">
      <c r="C1494" s="4" t="s">
        <v>8</v>
      </c>
    </row>
    <row r="1496" spans="1:7" ht="264" customHeight="1">
      <c r="A1496" s="2">
        <v>499</v>
      </c>
      <c r="B1496" s="3" t="s">
        <v>704</v>
      </c>
      <c r="C1496">
        <f>IMAGE("https://raw.githubusercontent.com/stautonico/tcg-livingdex/main/images/499/1.png", 2)</f>
        <v>0</v>
      </c>
      <c r="D1496">
        <f>IMAGE("https://raw.githubusercontent.com/stautonico/tcg-livingdex/main/images/499/2.png", 2)</f>
        <v>0</v>
      </c>
      <c r="E1496">
        <f>IMAGE("https://raw.githubusercontent.com/stautonico/tcg-livingdex/main/images/499/3.png", 2)</f>
        <v>0</v>
      </c>
      <c r="F1496">
        <f>IMAGE("https://raw.githubusercontent.com/stautonico/tcg-livingdex/main/images/499/4.png", 2)</f>
        <v>0</v>
      </c>
      <c r="G1496" t="s">
        <v>9</v>
      </c>
    </row>
    <row r="1497" spans="1:7">
      <c r="C1497" s="4" t="s">
        <v>705</v>
      </c>
      <c r="D1497" s="4" t="s">
        <v>706</v>
      </c>
      <c r="E1497" s="4" t="s">
        <v>707</v>
      </c>
      <c r="F1497" s="4" t="s">
        <v>708</v>
      </c>
    </row>
    <row r="1499" spans="1:7" ht="264" customHeight="1">
      <c r="A1499" s="2">
        <v>500</v>
      </c>
      <c r="B1499" s="3" t="s">
        <v>709</v>
      </c>
      <c r="C1499">
        <f>IMAGE("https://raw.githubusercontent.com/stautonico/tcg-livingdex/main/images/500/1.png", 2)</f>
        <v>0</v>
      </c>
      <c r="G1499" t="s">
        <v>9</v>
      </c>
    </row>
    <row r="1500" spans="1:7">
      <c r="C1500" s="4" t="s">
        <v>8</v>
      </c>
    </row>
    <row r="1502" spans="1:7" ht="264" customHeight="1">
      <c r="A1502" s="2">
        <v>501</v>
      </c>
      <c r="B1502" s="3" t="s">
        <v>710</v>
      </c>
      <c r="C1502">
        <f>IMAGE("https://raw.githubusercontent.com/stautonico/tcg-livingdex/main/images/501/1.png", 2)</f>
        <v>0</v>
      </c>
      <c r="G1502" t="s">
        <v>9</v>
      </c>
    </row>
    <row r="1503" spans="1:7">
      <c r="C1503" s="4" t="s">
        <v>8</v>
      </c>
    </row>
    <row r="1505" spans="1:7" ht="264" customHeight="1">
      <c r="A1505" s="2">
        <v>502</v>
      </c>
      <c r="B1505" s="3" t="s">
        <v>711</v>
      </c>
      <c r="C1505">
        <f>IMAGE("https://raw.githubusercontent.com/stautonico/tcg-livingdex/main/images/502/1.png", 2)</f>
        <v>0</v>
      </c>
      <c r="D1505">
        <f>IMAGE("https://raw.githubusercontent.com/stautonico/tcg-livingdex/main/images/502/2.png", 2)</f>
        <v>0</v>
      </c>
      <c r="E1505">
        <f>IMAGE("https://raw.githubusercontent.com/stautonico/tcg-livingdex/main/images/502/3.png", 2)</f>
        <v>0</v>
      </c>
      <c r="F1505">
        <f>IMAGE("https://raw.githubusercontent.com/stautonico/tcg-livingdex/main/images/502/4.png", 2)</f>
        <v>0</v>
      </c>
      <c r="G1505" t="s">
        <v>9</v>
      </c>
    </row>
    <row r="1506" spans="1:7">
      <c r="C1506" s="4" t="s">
        <v>712</v>
      </c>
      <c r="D1506" s="4" t="s">
        <v>713</v>
      </c>
      <c r="E1506" s="4" t="s">
        <v>714</v>
      </c>
      <c r="F1506" s="4" t="s">
        <v>715</v>
      </c>
    </row>
    <row r="1508" spans="1:7" ht="264" customHeight="1">
      <c r="A1508" s="2">
        <v>503</v>
      </c>
      <c r="B1508" s="3" t="s">
        <v>716</v>
      </c>
      <c r="C1508">
        <f>IMAGE("https://raw.githubusercontent.com/stautonico/tcg-livingdex/main/images/503/1.png", 2)</f>
        <v>0</v>
      </c>
      <c r="G1508" t="s">
        <v>9</v>
      </c>
    </row>
    <row r="1509" spans="1:7">
      <c r="C1509" s="4" t="s">
        <v>8</v>
      </c>
    </row>
    <row r="1511" spans="1:7" ht="264" customHeight="1">
      <c r="A1511" s="2">
        <v>504</v>
      </c>
      <c r="B1511" s="3" t="s">
        <v>717</v>
      </c>
      <c r="C1511">
        <f>IMAGE("https://raw.githubusercontent.com/stautonico/tcg-livingdex/main/images/504/1.png", 2)</f>
        <v>0</v>
      </c>
      <c r="D1511">
        <f>IMAGE("https://raw.githubusercontent.com/stautonico/tcg-livingdex/main/images/504/2.png", 2)</f>
        <v>0</v>
      </c>
      <c r="E1511">
        <f>IMAGE("https://raw.githubusercontent.com/stautonico/tcg-livingdex/main/images/504/3.png", 2)</f>
        <v>0</v>
      </c>
      <c r="F1511">
        <f>IMAGE("https://raw.githubusercontent.com/stautonico/tcg-livingdex/main/images/504/4.png", 2)</f>
        <v>0</v>
      </c>
      <c r="G1511" t="s">
        <v>9</v>
      </c>
    </row>
    <row r="1512" spans="1:7">
      <c r="C1512" s="4" t="s">
        <v>718</v>
      </c>
      <c r="D1512" s="4" t="s">
        <v>719</v>
      </c>
      <c r="E1512" s="4" t="s">
        <v>720</v>
      </c>
      <c r="F1512" s="4" t="s">
        <v>721</v>
      </c>
    </row>
    <row r="1514" spans="1:7" ht="264" customHeight="1">
      <c r="A1514" s="2">
        <v>505</v>
      </c>
      <c r="B1514" s="3" t="s">
        <v>722</v>
      </c>
      <c r="C1514">
        <f>IMAGE("https://raw.githubusercontent.com/stautonico/tcg-livingdex/main/images/505/1.png", 2)</f>
        <v>0</v>
      </c>
      <c r="G1514" t="s">
        <v>9</v>
      </c>
    </row>
    <row r="1515" spans="1:7">
      <c r="C1515" s="4" t="s">
        <v>8</v>
      </c>
    </row>
    <row r="1517" spans="1:7" ht="264" customHeight="1">
      <c r="A1517" s="2">
        <v>506</v>
      </c>
      <c r="B1517" s="3" t="s">
        <v>723</v>
      </c>
      <c r="C1517">
        <f>IMAGE("https://raw.githubusercontent.com/stautonico/tcg-livingdex/main/images/506/1.png", 2)</f>
        <v>0</v>
      </c>
      <c r="G1517" t="s">
        <v>9</v>
      </c>
    </row>
    <row r="1518" spans="1:7">
      <c r="C1518" s="4" t="s">
        <v>8</v>
      </c>
    </row>
    <row r="1520" spans="1:7" ht="264" customHeight="1">
      <c r="A1520" s="2">
        <v>507</v>
      </c>
      <c r="B1520" s="3" t="s">
        <v>724</v>
      </c>
      <c r="C1520">
        <f>IMAGE("https://raw.githubusercontent.com/stautonico/tcg-livingdex/main/images/507/1.png", 2)</f>
        <v>0</v>
      </c>
      <c r="G1520" t="s">
        <v>9</v>
      </c>
    </row>
    <row r="1521" spans="1:7">
      <c r="C1521" s="4" t="s">
        <v>8</v>
      </c>
    </row>
    <row r="1523" spans="1:7" ht="264" customHeight="1">
      <c r="A1523" s="2">
        <v>508</v>
      </c>
      <c r="B1523" s="3" t="s">
        <v>725</v>
      </c>
      <c r="C1523">
        <f>IMAGE("https://raw.githubusercontent.com/stautonico/tcg-livingdex/main/images/508/1.png", 2)</f>
        <v>0</v>
      </c>
      <c r="D1523">
        <f>IMAGE("https://raw.githubusercontent.com/stautonico/tcg-livingdex/main/images/508/2.png", 2)</f>
        <v>0</v>
      </c>
      <c r="E1523">
        <f>IMAGE("https://raw.githubusercontent.com/stautonico/tcg-livingdex/main/images/508/3.png", 2)</f>
        <v>0</v>
      </c>
      <c r="F1523">
        <f>IMAGE("https://raw.githubusercontent.com/stautonico/tcg-livingdex/main/images/508/4.png", 2)</f>
        <v>0</v>
      </c>
      <c r="G1523" t="s">
        <v>9</v>
      </c>
    </row>
    <row r="1524" spans="1:7">
      <c r="C1524" s="4" t="s">
        <v>726</v>
      </c>
      <c r="D1524" s="4" t="s">
        <v>727</v>
      </c>
      <c r="E1524" s="4" t="s">
        <v>728</v>
      </c>
      <c r="F1524" s="4" t="s">
        <v>729</v>
      </c>
    </row>
    <row r="1526" spans="1:7" ht="264" customHeight="1">
      <c r="A1526" s="2">
        <v>509</v>
      </c>
      <c r="B1526" s="3" t="s">
        <v>730</v>
      </c>
      <c r="C1526">
        <f>IMAGE("https://raw.githubusercontent.com/stautonico/tcg-livingdex/main/images/509/1.png", 2)</f>
        <v>0</v>
      </c>
      <c r="G1526" t="s">
        <v>9</v>
      </c>
    </row>
    <row r="1527" spans="1:7">
      <c r="C1527" s="4" t="s">
        <v>8</v>
      </c>
    </row>
    <row r="1529" spans="1:7" ht="264" customHeight="1">
      <c r="A1529" s="2">
        <v>510</v>
      </c>
      <c r="B1529" s="3" t="s">
        <v>731</v>
      </c>
      <c r="C1529">
        <f>IMAGE("https://raw.githubusercontent.com/stautonico/tcg-livingdex/main/images/510/1.png", 2)</f>
        <v>0</v>
      </c>
      <c r="G1529" t="s">
        <v>9</v>
      </c>
    </row>
    <row r="1530" spans="1:7">
      <c r="C1530" s="4" t="s">
        <v>8</v>
      </c>
    </row>
    <row r="1532" spans="1:7" ht="264" customHeight="1">
      <c r="A1532" s="2">
        <v>511</v>
      </c>
      <c r="B1532" s="3" t="s">
        <v>732</v>
      </c>
      <c r="C1532">
        <f>IMAGE("https://raw.githubusercontent.com/stautonico/tcg-livingdex/main/images/511/1.png", 2)</f>
        <v>0</v>
      </c>
      <c r="G1532" t="s">
        <v>9</v>
      </c>
    </row>
    <row r="1533" spans="1:7">
      <c r="C1533" s="4" t="s">
        <v>8</v>
      </c>
    </row>
    <row r="1535" spans="1:7" ht="264" customHeight="1">
      <c r="A1535" s="2">
        <v>512</v>
      </c>
      <c r="B1535" s="3" t="s">
        <v>733</v>
      </c>
      <c r="C1535">
        <f>IMAGE("https://raw.githubusercontent.com/stautonico/tcg-livingdex/main/images/512/1.png", 2)</f>
        <v>0</v>
      </c>
      <c r="G1535" t="s">
        <v>9</v>
      </c>
    </row>
    <row r="1536" spans="1:7">
      <c r="C1536" s="4" t="s">
        <v>8</v>
      </c>
    </row>
    <row r="1538" spans="1:7" ht="264" customHeight="1">
      <c r="A1538" s="2">
        <v>513</v>
      </c>
      <c r="B1538" s="3" t="s">
        <v>734</v>
      </c>
      <c r="C1538">
        <f>IMAGE("https://raw.githubusercontent.com/stautonico/tcg-livingdex/main/images/513/1.png", 2)</f>
        <v>0</v>
      </c>
      <c r="G1538" t="s">
        <v>9</v>
      </c>
    </row>
    <row r="1539" spans="1:7">
      <c r="C1539" s="4" t="s">
        <v>8</v>
      </c>
    </row>
    <row r="1541" spans="1:7" ht="264" customHeight="1">
      <c r="A1541" s="2">
        <v>514</v>
      </c>
      <c r="B1541" s="3" t="s">
        <v>735</v>
      </c>
      <c r="C1541">
        <f>IMAGE("https://raw.githubusercontent.com/stautonico/tcg-livingdex/main/images/514/1.png", 2)</f>
        <v>0</v>
      </c>
      <c r="G1541" t="s">
        <v>9</v>
      </c>
    </row>
    <row r="1542" spans="1:7">
      <c r="C1542" s="4" t="s">
        <v>8</v>
      </c>
    </row>
    <row r="1544" spans="1:7" ht="264" customHeight="1">
      <c r="A1544" s="2">
        <v>515</v>
      </c>
      <c r="B1544" s="3" t="s">
        <v>736</v>
      </c>
      <c r="C1544">
        <f>IMAGE("https://raw.githubusercontent.com/stautonico/tcg-livingdex/main/images/515/1.png", 2)</f>
        <v>0</v>
      </c>
      <c r="G1544" t="s">
        <v>9</v>
      </c>
    </row>
    <row r="1545" spans="1:7">
      <c r="C1545" s="4" t="s">
        <v>8</v>
      </c>
    </row>
    <row r="1547" spans="1:7" ht="264" customHeight="1">
      <c r="A1547" s="2">
        <v>516</v>
      </c>
      <c r="B1547" s="3" t="s">
        <v>737</v>
      </c>
      <c r="C1547">
        <f>IMAGE("https://raw.githubusercontent.com/stautonico/tcg-livingdex/main/images/516/1.png", 2)</f>
        <v>0</v>
      </c>
      <c r="G1547" t="s">
        <v>9</v>
      </c>
    </row>
    <row r="1548" spans="1:7">
      <c r="C1548" s="4" t="s">
        <v>8</v>
      </c>
    </row>
    <row r="1550" spans="1:7" ht="264" customHeight="1">
      <c r="A1550" s="2">
        <v>517</v>
      </c>
      <c r="B1550" s="3" t="s">
        <v>738</v>
      </c>
      <c r="C1550">
        <f>IMAGE("https://raw.githubusercontent.com/stautonico/tcg-livingdex/main/images/517/1.png", 2)</f>
        <v>0</v>
      </c>
      <c r="G1550" t="s">
        <v>9</v>
      </c>
    </row>
    <row r="1551" spans="1:7">
      <c r="C1551" s="4" t="s">
        <v>8</v>
      </c>
    </row>
    <row r="1553" spans="1:7" ht="264" customHeight="1">
      <c r="A1553" s="2">
        <v>518</v>
      </c>
      <c r="B1553" s="3" t="s">
        <v>739</v>
      </c>
      <c r="C1553">
        <f>IMAGE("https://raw.githubusercontent.com/stautonico/tcg-livingdex/main/images/518/1.png", 2)</f>
        <v>0</v>
      </c>
      <c r="G1553" t="s">
        <v>9</v>
      </c>
    </row>
    <row r="1554" spans="1:7">
      <c r="C1554" s="4" t="s">
        <v>8</v>
      </c>
    </row>
    <row r="1556" spans="1:7" ht="264" customHeight="1">
      <c r="A1556" s="2">
        <v>519</v>
      </c>
      <c r="B1556" s="3" t="s">
        <v>740</v>
      </c>
      <c r="C1556">
        <f>IMAGE("https://raw.githubusercontent.com/stautonico/tcg-livingdex/main/images/519/1.png", 2)</f>
        <v>0</v>
      </c>
      <c r="G1556" t="s">
        <v>9</v>
      </c>
    </row>
    <row r="1557" spans="1:7">
      <c r="C1557" s="4" t="s">
        <v>8</v>
      </c>
    </row>
    <row r="1559" spans="1:7" ht="264" customHeight="1">
      <c r="A1559" s="2">
        <v>520</v>
      </c>
      <c r="B1559" s="3" t="s">
        <v>741</v>
      </c>
      <c r="C1559">
        <f>IMAGE("https://raw.githubusercontent.com/stautonico/tcg-livingdex/main/images/520/1.png", 2)</f>
        <v>0</v>
      </c>
      <c r="G1559" t="s">
        <v>9</v>
      </c>
    </row>
    <row r="1560" spans="1:7">
      <c r="C1560" s="4" t="s">
        <v>8</v>
      </c>
    </row>
    <row r="1562" spans="1:7" ht="264" customHeight="1">
      <c r="A1562" s="2">
        <v>521</v>
      </c>
      <c r="B1562" s="3" t="s">
        <v>742</v>
      </c>
      <c r="C1562">
        <f>IMAGE("https://raw.githubusercontent.com/stautonico/tcg-livingdex/main/images/521/1.png", 2)</f>
        <v>0</v>
      </c>
      <c r="G1562" t="s">
        <v>9</v>
      </c>
    </row>
    <row r="1563" spans="1:7">
      <c r="C1563" s="4" t="s">
        <v>8</v>
      </c>
    </row>
    <row r="1565" spans="1:7" ht="264" customHeight="1">
      <c r="A1565" s="2">
        <v>522</v>
      </c>
      <c r="B1565" s="3" t="s">
        <v>743</v>
      </c>
      <c r="C1565">
        <f>IMAGE("https://raw.githubusercontent.com/stautonico/tcg-livingdex/main/images/522/1.png", 2)</f>
        <v>0</v>
      </c>
      <c r="G1565" t="s">
        <v>9</v>
      </c>
    </row>
    <row r="1566" spans="1:7">
      <c r="C1566" s="4" t="s">
        <v>8</v>
      </c>
    </row>
    <row r="1568" spans="1:7" ht="264" customHeight="1">
      <c r="A1568" s="2">
        <v>523</v>
      </c>
      <c r="B1568" s="3" t="s">
        <v>744</v>
      </c>
      <c r="C1568">
        <f>IMAGE("https://raw.githubusercontent.com/stautonico/tcg-livingdex/main/images/523/1.png", 2)</f>
        <v>0</v>
      </c>
      <c r="G1568" t="s">
        <v>9</v>
      </c>
    </row>
    <row r="1569" spans="1:7">
      <c r="C1569" s="4" t="s">
        <v>8</v>
      </c>
    </row>
    <row r="1571" spans="1:7" ht="264" customHeight="1">
      <c r="A1571" s="2">
        <v>524</v>
      </c>
      <c r="B1571" s="3" t="s">
        <v>745</v>
      </c>
      <c r="C1571">
        <f>IMAGE("https://raw.githubusercontent.com/stautonico/tcg-livingdex/main/images/524/1.png", 2)</f>
        <v>0</v>
      </c>
      <c r="G1571" t="s">
        <v>9</v>
      </c>
    </row>
    <row r="1572" spans="1:7">
      <c r="C1572" s="4" t="s">
        <v>8</v>
      </c>
    </row>
    <row r="1574" spans="1:7" ht="264" customHeight="1">
      <c r="A1574" s="2">
        <v>525</v>
      </c>
      <c r="B1574" s="3" t="s">
        <v>746</v>
      </c>
      <c r="C1574">
        <f>IMAGE("https://raw.githubusercontent.com/stautonico/tcg-livingdex/main/images/525/1.png", 2)</f>
        <v>0</v>
      </c>
      <c r="G1574" t="s">
        <v>9</v>
      </c>
    </row>
    <row r="1575" spans="1:7">
      <c r="C1575" s="4" t="s">
        <v>8</v>
      </c>
    </row>
    <row r="1577" spans="1:7" ht="264" customHeight="1">
      <c r="A1577" s="2">
        <v>526</v>
      </c>
      <c r="B1577" s="3" t="s">
        <v>747</v>
      </c>
      <c r="C1577">
        <f>IMAGE("https://raw.githubusercontent.com/stautonico/tcg-livingdex/main/images/526/1.png", 2)</f>
        <v>0</v>
      </c>
      <c r="G1577" t="s">
        <v>9</v>
      </c>
    </row>
    <row r="1578" spans="1:7">
      <c r="C1578" s="4" t="s">
        <v>8</v>
      </c>
    </row>
    <row r="1580" spans="1:7" ht="264" customHeight="1">
      <c r="A1580" s="2">
        <v>527</v>
      </c>
      <c r="B1580" s="3" t="s">
        <v>748</v>
      </c>
      <c r="C1580">
        <f>IMAGE("https://raw.githubusercontent.com/stautonico/tcg-livingdex/main/images/527/1.png", 2)</f>
        <v>0</v>
      </c>
      <c r="G1580" t="s">
        <v>9</v>
      </c>
    </row>
    <row r="1581" spans="1:7">
      <c r="C1581" s="4" t="s">
        <v>8</v>
      </c>
    </row>
    <row r="1583" spans="1:7" ht="264" customHeight="1">
      <c r="A1583" s="2">
        <v>528</v>
      </c>
      <c r="B1583" s="3" t="s">
        <v>749</v>
      </c>
      <c r="C1583">
        <f>IMAGE("https://raw.githubusercontent.com/stautonico/tcg-livingdex/main/images/528/1.png", 2)</f>
        <v>0</v>
      </c>
      <c r="G1583" t="s">
        <v>9</v>
      </c>
    </row>
    <row r="1584" spans="1:7">
      <c r="C1584" s="4" t="s">
        <v>8</v>
      </c>
    </row>
    <row r="1586" spans="1:7" ht="264" customHeight="1">
      <c r="A1586" s="2">
        <v>529</v>
      </c>
      <c r="B1586" s="3" t="s">
        <v>750</v>
      </c>
      <c r="C1586">
        <f>IMAGE("https://raw.githubusercontent.com/stautonico/tcg-livingdex/main/images/529/1.png", 2)</f>
        <v>0</v>
      </c>
      <c r="G1586" t="s">
        <v>9</v>
      </c>
    </row>
    <row r="1587" spans="1:7">
      <c r="C1587" s="4" t="s">
        <v>8</v>
      </c>
    </row>
    <row r="1589" spans="1:7" ht="264" customHeight="1">
      <c r="A1589" s="2">
        <v>530</v>
      </c>
      <c r="B1589" s="3" t="s">
        <v>751</v>
      </c>
      <c r="C1589">
        <f>IMAGE("https://raw.githubusercontent.com/stautonico/tcg-livingdex/main/images/530/1.png", 2)</f>
        <v>0</v>
      </c>
      <c r="G1589" t="s">
        <v>9</v>
      </c>
    </row>
    <row r="1590" spans="1:7">
      <c r="C1590" s="4" t="s">
        <v>8</v>
      </c>
    </row>
    <row r="1592" spans="1:7" ht="264" customHeight="1">
      <c r="A1592" s="2">
        <v>531</v>
      </c>
      <c r="B1592" s="3" t="s">
        <v>752</v>
      </c>
      <c r="C1592">
        <f>IMAGE("https://raw.githubusercontent.com/stautonico/tcg-livingdex/main/images/531/1.png", 2)</f>
        <v>0</v>
      </c>
      <c r="G1592" t="s">
        <v>9</v>
      </c>
    </row>
    <row r="1593" spans="1:7">
      <c r="C1593" s="4" t="s">
        <v>8</v>
      </c>
    </row>
    <row r="1595" spans="1:7" ht="264" customHeight="1">
      <c r="A1595" s="2">
        <v>532</v>
      </c>
      <c r="B1595" s="3" t="s">
        <v>753</v>
      </c>
      <c r="C1595">
        <f>IMAGE("https://raw.githubusercontent.com/stautonico/tcg-livingdex/main/images/532/1.png", 2)</f>
        <v>0</v>
      </c>
      <c r="G1595" t="s">
        <v>9</v>
      </c>
    </row>
    <row r="1596" spans="1:7">
      <c r="C1596" s="4" t="s">
        <v>8</v>
      </c>
    </row>
    <row r="1598" spans="1:7" ht="264" customHeight="1">
      <c r="A1598" s="2">
        <v>533</v>
      </c>
      <c r="B1598" s="3" t="s">
        <v>754</v>
      </c>
      <c r="C1598">
        <f>IMAGE("https://raw.githubusercontent.com/stautonico/tcg-livingdex/main/images/533/1.png", 2)</f>
        <v>0</v>
      </c>
      <c r="G1598" t="s">
        <v>9</v>
      </c>
    </row>
    <row r="1599" spans="1:7">
      <c r="C1599" s="4" t="s">
        <v>8</v>
      </c>
    </row>
    <row r="1601" spans="1:7" ht="264" customHeight="1">
      <c r="A1601" s="2">
        <v>534</v>
      </c>
      <c r="B1601" s="3" t="s">
        <v>755</v>
      </c>
      <c r="C1601">
        <f>IMAGE("https://raw.githubusercontent.com/stautonico/tcg-livingdex/main/images/534/1.png", 2)</f>
        <v>0</v>
      </c>
      <c r="G1601" t="s">
        <v>9</v>
      </c>
    </row>
    <row r="1602" spans="1:7">
      <c r="C1602" s="4" t="s">
        <v>8</v>
      </c>
    </row>
    <row r="1604" spans="1:7" ht="264" customHeight="1">
      <c r="A1604" s="2">
        <v>535</v>
      </c>
      <c r="B1604" s="3" t="s">
        <v>756</v>
      </c>
      <c r="C1604">
        <f>IMAGE("https://raw.githubusercontent.com/stautonico/tcg-livingdex/main/images/535/1.png", 2)</f>
        <v>0</v>
      </c>
      <c r="G1604" t="s">
        <v>9</v>
      </c>
    </row>
    <row r="1605" spans="1:7">
      <c r="C1605" s="4" t="s">
        <v>8</v>
      </c>
    </row>
    <row r="1607" spans="1:7" ht="264" customHeight="1">
      <c r="A1607" s="2">
        <v>536</v>
      </c>
      <c r="B1607" s="3" t="s">
        <v>757</v>
      </c>
      <c r="C1607">
        <f>IMAGE("https://raw.githubusercontent.com/stautonico/tcg-livingdex/main/images/536/1.png", 2)</f>
        <v>0</v>
      </c>
      <c r="G1607" t="s">
        <v>9</v>
      </c>
    </row>
    <row r="1608" spans="1:7">
      <c r="C1608" s="4" t="s">
        <v>8</v>
      </c>
    </row>
    <row r="1610" spans="1:7" ht="264" customHeight="1">
      <c r="A1610" s="2">
        <v>537</v>
      </c>
      <c r="B1610" s="3" t="s">
        <v>758</v>
      </c>
      <c r="C1610">
        <f>IMAGE("https://raw.githubusercontent.com/stautonico/tcg-livingdex/main/images/537/1.png", 2)</f>
        <v>0</v>
      </c>
      <c r="G1610" t="s">
        <v>9</v>
      </c>
    </row>
    <row r="1611" spans="1:7">
      <c r="C1611" s="4" t="s">
        <v>8</v>
      </c>
    </row>
    <row r="1613" spans="1:7" ht="264" customHeight="1">
      <c r="A1613" s="2">
        <v>538</v>
      </c>
      <c r="B1613" s="3" t="s">
        <v>759</v>
      </c>
      <c r="C1613">
        <f>IMAGE("https://raw.githubusercontent.com/stautonico/tcg-livingdex/main/images/538/1.png", 2)</f>
        <v>0</v>
      </c>
      <c r="G1613" t="s">
        <v>9</v>
      </c>
    </row>
    <row r="1614" spans="1:7">
      <c r="C1614" s="4" t="s">
        <v>8</v>
      </c>
    </row>
    <row r="1616" spans="1:7" ht="264" customHeight="1">
      <c r="A1616" s="2">
        <v>539</v>
      </c>
      <c r="B1616" s="3" t="s">
        <v>760</v>
      </c>
      <c r="C1616">
        <f>IMAGE("https://raw.githubusercontent.com/stautonico/tcg-livingdex/main/images/539/1.png", 2)</f>
        <v>0</v>
      </c>
      <c r="G1616" t="s">
        <v>9</v>
      </c>
    </row>
    <row r="1617" spans="1:7">
      <c r="C1617" s="4" t="s">
        <v>8</v>
      </c>
    </row>
    <row r="1619" spans="1:7" ht="264" customHeight="1">
      <c r="A1619" s="2">
        <v>540</v>
      </c>
      <c r="B1619" s="3" t="s">
        <v>761</v>
      </c>
      <c r="C1619">
        <f>IMAGE("https://raw.githubusercontent.com/stautonico/tcg-livingdex/main/images/540/1.png", 2)</f>
        <v>0</v>
      </c>
      <c r="G1619" t="s">
        <v>9</v>
      </c>
    </row>
    <row r="1620" spans="1:7">
      <c r="C1620" s="4" t="s">
        <v>8</v>
      </c>
    </row>
    <row r="1622" spans="1:7" ht="264" customHeight="1">
      <c r="A1622" s="2">
        <v>541</v>
      </c>
      <c r="B1622" s="3" t="s">
        <v>762</v>
      </c>
      <c r="C1622">
        <f>IMAGE("https://raw.githubusercontent.com/stautonico/tcg-livingdex/main/images/541/1.png", 2)</f>
        <v>0</v>
      </c>
      <c r="D1622">
        <f>IMAGE("https://raw.githubusercontent.com/stautonico/tcg-livingdex/main/images/541/2.png", 2)</f>
        <v>0</v>
      </c>
      <c r="E1622">
        <f>IMAGE("https://raw.githubusercontent.com/stautonico/tcg-livingdex/main/images/541/3.png", 2)</f>
        <v>0</v>
      </c>
      <c r="F1622">
        <f>IMAGE("https://raw.githubusercontent.com/stautonico/tcg-livingdex/main/images/541/4.png", 2)</f>
        <v>0</v>
      </c>
      <c r="G1622" t="s">
        <v>9</v>
      </c>
    </row>
    <row r="1623" spans="1:7">
      <c r="C1623" s="4" t="s">
        <v>763</v>
      </c>
      <c r="D1623" s="4" t="s">
        <v>764</v>
      </c>
      <c r="E1623" s="4" t="s">
        <v>765</v>
      </c>
      <c r="F1623" s="4" t="s">
        <v>766</v>
      </c>
    </row>
    <row r="1625" spans="1:7" ht="264" customHeight="1">
      <c r="A1625" s="2">
        <v>542</v>
      </c>
      <c r="B1625" s="3" t="s">
        <v>767</v>
      </c>
      <c r="C1625">
        <f>IMAGE("https://raw.githubusercontent.com/stautonico/tcg-livingdex/main/images/542/1.png", 2)</f>
        <v>0</v>
      </c>
      <c r="G1625" t="s">
        <v>9</v>
      </c>
    </row>
    <row r="1626" spans="1:7">
      <c r="C1626" s="4" t="s">
        <v>8</v>
      </c>
    </row>
    <row r="1628" spans="1:7" ht="264" customHeight="1">
      <c r="A1628" s="2">
        <v>543</v>
      </c>
      <c r="B1628" s="3" t="s">
        <v>768</v>
      </c>
      <c r="C1628">
        <f>IMAGE("https://raw.githubusercontent.com/stautonico/tcg-livingdex/main/images/543/1.png", 2)</f>
        <v>0</v>
      </c>
      <c r="G1628" t="s">
        <v>9</v>
      </c>
    </row>
    <row r="1629" spans="1:7">
      <c r="C1629" s="4" t="s">
        <v>8</v>
      </c>
    </row>
    <row r="1631" spans="1:7" ht="264" customHeight="1">
      <c r="A1631" s="2">
        <v>544</v>
      </c>
      <c r="B1631" s="3" t="s">
        <v>769</v>
      </c>
      <c r="C1631">
        <f>IMAGE("https://raw.githubusercontent.com/stautonico/tcg-livingdex/main/images/544/1.png", 2)</f>
        <v>0</v>
      </c>
      <c r="G1631" t="s">
        <v>9</v>
      </c>
    </row>
    <row r="1632" spans="1:7">
      <c r="C1632" s="4" t="s">
        <v>8</v>
      </c>
    </row>
    <row r="1634" spans="1:7" ht="264" customHeight="1">
      <c r="A1634" s="2">
        <v>545</v>
      </c>
      <c r="B1634" s="3" t="s">
        <v>770</v>
      </c>
      <c r="C1634">
        <f>IMAGE("https://raw.githubusercontent.com/stautonico/tcg-livingdex/main/images/545/1.png", 2)</f>
        <v>0</v>
      </c>
      <c r="G1634" t="s">
        <v>9</v>
      </c>
    </row>
    <row r="1635" spans="1:7">
      <c r="C1635" s="4" t="s">
        <v>8</v>
      </c>
    </row>
    <row r="1637" spans="1:7" ht="264" customHeight="1">
      <c r="A1637" s="2">
        <v>546</v>
      </c>
      <c r="B1637" s="3" t="s">
        <v>771</v>
      </c>
      <c r="C1637">
        <f>IMAGE("https://raw.githubusercontent.com/stautonico/tcg-livingdex/main/images/546/1.png", 2)</f>
        <v>0</v>
      </c>
      <c r="G1637" t="s">
        <v>9</v>
      </c>
    </row>
    <row r="1638" spans="1:7">
      <c r="C1638" s="4" t="s">
        <v>8</v>
      </c>
    </row>
    <row r="1640" spans="1:7" ht="264" customHeight="1">
      <c r="A1640" s="2">
        <v>547</v>
      </c>
      <c r="B1640" s="3" t="s">
        <v>772</v>
      </c>
      <c r="C1640">
        <f>IMAGE("https://raw.githubusercontent.com/stautonico/tcg-livingdex/main/images/547/1.png", 2)</f>
        <v>0</v>
      </c>
      <c r="G1640" t="s">
        <v>9</v>
      </c>
    </row>
    <row r="1641" spans="1:7">
      <c r="C1641" s="4" t="s">
        <v>8</v>
      </c>
    </row>
    <row r="1643" spans="1:7" ht="264" customHeight="1">
      <c r="A1643" s="2">
        <v>548</v>
      </c>
      <c r="B1643" s="3" t="s">
        <v>773</v>
      </c>
      <c r="C1643">
        <f>IMAGE("https://raw.githubusercontent.com/stautonico/tcg-livingdex/main/images/548/1.png", 2)</f>
        <v>0</v>
      </c>
      <c r="G1643" t="s">
        <v>9</v>
      </c>
    </row>
    <row r="1644" spans="1:7">
      <c r="C1644" s="4" t="s">
        <v>8</v>
      </c>
    </row>
    <row r="1646" spans="1:7" ht="264" customHeight="1">
      <c r="A1646" s="2">
        <v>549</v>
      </c>
      <c r="B1646" s="3" t="s">
        <v>774</v>
      </c>
      <c r="C1646">
        <f>IMAGE("https://raw.githubusercontent.com/stautonico/tcg-livingdex/main/images/549/1.png", 2)</f>
        <v>0</v>
      </c>
      <c r="G1646" t="s">
        <v>9</v>
      </c>
    </row>
    <row r="1647" spans="1:7">
      <c r="C1647" s="4" t="s">
        <v>8</v>
      </c>
    </row>
    <row r="1649" spans="1:7" ht="264" customHeight="1">
      <c r="A1649" s="2">
        <v>550</v>
      </c>
      <c r="B1649" s="3" t="s">
        <v>775</v>
      </c>
      <c r="C1649">
        <f>IMAGE("https://raw.githubusercontent.com/stautonico/tcg-livingdex/main/images/550/1.png", 2)</f>
        <v>0</v>
      </c>
      <c r="G1649" t="s">
        <v>9</v>
      </c>
    </row>
    <row r="1650" spans="1:7">
      <c r="C1650" s="4" t="s">
        <v>8</v>
      </c>
    </row>
    <row r="1652" spans="1:7" ht="264" customHeight="1">
      <c r="A1652" s="2">
        <v>551</v>
      </c>
      <c r="B1652" s="3" t="s">
        <v>776</v>
      </c>
      <c r="C1652">
        <f>IMAGE("https://raw.githubusercontent.com/stautonico/tcg-livingdex/main/images/551/1.png", 2)</f>
        <v>0</v>
      </c>
      <c r="G1652" t="s">
        <v>9</v>
      </c>
    </row>
    <row r="1653" spans="1:7">
      <c r="C1653" s="4" t="s">
        <v>8</v>
      </c>
    </row>
    <row r="1655" spans="1:7" ht="264" customHeight="1">
      <c r="A1655" s="2">
        <v>552</v>
      </c>
      <c r="B1655" s="3" t="s">
        <v>777</v>
      </c>
      <c r="C1655">
        <f>IMAGE("https://raw.githubusercontent.com/stautonico/tcg-livingdex/main/images/552/1.png", 2)</f>
        <v>0</v>
      </c>
      <c r="G1655" t="s">
        <v>9</v>
      </c>
    </row>
    <row r="1656" spans="1:7">
      <c r="C1656" s="4" t="s">
        <v>8</v>
      </c>
    </row>
    <row r="1658" spans="1:7" ht="264" customHeight="1">
      <c r="A1658" s="2">
        <v>553</v>
      </c>
      <c r="B1658" s="3" t="s">
        <v>778</v>
      </c>
      <c r="C1658">
        <f>IMAGE("https://raw.githubusercontent.com/stautonico/tcg-livingdex/main/images/553/1.png", 2)</f>
        <v>0</v>
      </c>
      <c r="G1658" t="s">
        <v>9</v>
      </c>
    </row>
    <row r="1659" spans="1:7">
      <c r="C1659" s="4" t="s">
        <v>8</v>
      </c>
    </row>
    <row r="1661" spans="1:7" ht="264" customHeight="1">
      <c r="A1661" s="2">
        <v>554</v>
      </c>
      <c r="B1661" s="3" t="s">
        <v>779</v>
      </c>
      <c r="C1661">
        <f>IMAGE("https://raw.githubusercontent.com/stautonico/tcg-livingdex/main/images/554/1.png", 2)</f>
        <v>0</v>
      </c>
      <c r="G1661" t="s">
        <v>9</v>
      </c>
    </row>
    <row r="1662" spans="1:7">
      <c r="C1662" s="4" t="s">
        <v>8</v>
      </c>
    </row>
    <row r="1664" spans="1:7" ht="264" customHeight="1">
      <c r="A1664" s="2">
        <v>555</v>
      </c>
      <c r="B1664" s="3" t="s">
        <v>780</v>
      </c>
      <c r="C1664">
        <f>IMAGE("https://raw.githubusercontent.com/stautonico/tcg-livingdex/main/images/555/1.png", 2)</f>
        <v>0</v>
      </c>
      <c r="G1664" t="s">
        <v>9</v>
      </c>
    </row>
    <row r="1665" spans="1:7">
      <c r="C1665" s="4" t="s">
        <v>8</v>
      </c>
    </row>
    <row r="1667" spans="1:7" ht="264" customHeight="1">
      <c r="A1667" s="2">
        <v>556</v>
      </c>
      <c r="B1667" s="3" t="s">
        <v>781</v>
      </c>
      <c r="C1667">
        <f>IMAGE("https://raw.githubusercontent.com/stautonico/tcg-livingdex/main/images/556/1.png", 2)</f>
        <v>0</v>
      </c>
      <c r="G1667" t="s">
        <v>9</v>
      </c>
    </row>
    <row r="1668" spans="1:7">
      <c r="C1668" s="4" t="s">
        <v>8</v>
      </c>
    </row>
    <row r="1670" spans="1:7" ht="264" customHeight="1">
      <c r="A1670" s="2">
        <v>557</v>
      </c>
      <c r="B1670" s="3" t="s">
        <v>782</v>
      </c>
      <c r="C1670">
        <f>IMAGE("https://raw.githubusercontent.com/stautonico/tcg-livingdex/main/images/557/1.png", 2)</f>
        <v>0</v>
      </c>
      <c r="G1670" t="s">
        <v>9</v>
      </c>
    </row>
    <row r="1671" spans="1:7">
      <c r="C1671" s="4" t="s">
        <v>8</v>
      </c>
    </row>
    <row r="1673" spans="1:7" ht="264" customHeight="1">
      <c r="A1673" s="2">
        <v>558</v>
      </c>
      <c r="B1673" s="3" t="s">
        <v>783</v>
      </c>
      <c r="C1673">
        <f>IMAGE("https://raw.githubusercontent.com/stautonico/tcg-livingdex/main/images/558/1.png", 2)</f>
        <v>0</v>
      </c>
      <c r="G1673" t="s">
        <v>9</v>
      </c>
    </row>
    <row r="1674" spans="1:7">
      <c r="C1674" s="4" t="s">
        <v>8</v>
      </c>
    </row>
    <row r="1676" spans="1:7" ht="264" customHeight="1">
      <c r="A1676" s="2">
        <v>559</v>
      </c>
      <c r="B1676" s="3" t="s">
        <v>784</v>
      </c>
      <c r="C1676">
        <f>IMAGE("https://raw.githubusercontent.com/stautonico/tcg-livingdex/main/images/559/1.png", 2)</f>
        <v>0</v>
      </c>
      <c r="G1676" t="s">
        <v>9</v>
      </c>
    </row>
    <row r="1677" spans="1:7">
      <c r="C1677" s="4" t="s">
        <v>8</v>
      </c>
    </row>
    <row r="1679" spans="1:7" ht="264" customHeight="1">
      <c r="A1679" s="2">
        <v>560</v>
      </c>
      <c r="B1679" s="3" t="s">
        <v>785</v>
      </c>
      <c r="C1679">
        <f>IMAGE("https://raw.githubusercontent.com/stautonico/tcg-livingdex/main/images/560/1.png", 2)</f>
        <v>0</v>
      </c>
      <c r="G1679" t="s">
        <v>9</v>
      </c>
    </row>
    <row r="1680" spans="1:7">
      <c r="C1680" s="4" t="s">
        <v>8</v>
      </c>
    </row>
    <row r="1682" spans="1:7" ht="264" customHeight="1">
      <c r="A1682" s="2">
        <v>561</v>
      </c>
      <c r="B1682" s="3" t="s">
        <v>786</v>
      </c>
      <c r="C1682">
        <f>IMAGE("https://raw.githubusercontent.com/stautonico/tcg-livingdex/main/images/561/1.png", 2)</f>
        <v>0</v>
      </c>
      <c r="G1682" t="s">
        <v>9</v>
      </c>
    </row>
    <row r="1683" spans="1:7">
      <c r="C1683" s="4" t="s">
        <v>8</v>
      </c>
    </row>
    <row r="1685" spans="1:7" ht="264" customHeight="1">
      <c r="A1685" s="2">
        <v>562</v>
      </c>
      <c r="B1685" s="3" t="s">
        <v>787</v>
      </c>
      <c r="C1685">
        <f>IMAGE("https://raw.githubusercontent.com/stautonico/tcg-livingdex/main/images/562/1.png", 2)</f>
        <v>0</v>
      </c>
      <c r="G1685" t="s">
        <v>9</v>
      </c>
    </row>
    <row r="1686" spans="1:7">
      <c r="C1686" s="4" t="s">
        <v>8</v>
      </c>
    </row>
    <row r="1688" spans="1:7" ht="264" customHeight="1">
      <c r="A1688" s="2">
        <v>563</v>
      </c>
      <c r="B1688" s="3" t="s">
        <v>788</v>
      </c>
      <c r="C1688">
        <f>IMAGE("https://raw.githubusercontent.com/stautonico/tcg-livingdex/main/images/563/1.png", 2)</f>
        <v>0</v>
      </c>
      <c r="D1688">
        <f>IMAGE("https://raw.githubusercontent.com/stautonico/tcg-livingdex/main/images/563/2.png", 2)</f>
        <v>0</v>
      </c>
      <c r="E1688">
        <f>IMAGE("https://raw.githubusercontent.com/stautonico/tcg-livingdex/main/images/563/3.png", 2)</f>
        <v>0</v>
      </c>
      <c r="F1688">
        <f>IMAGE("https://raw.githubusercontent.com/stautonico/tcg-livingdex/main/images/563/4.png", 2)</f>
        <v>0</v>
      </c>
      <c r="G1688" t="s">
        <v>9</v>
      </c>
    </row>
    <row r="1689" spans="1:7">
      <c r="C1689" s="4" t="s">
        <v>789</v>
      </c>
      <c r="D1689" s="4" t="s">
        <v>790</v>
      </c>
      <c r="E1689" s="4" t="s">
        <v>791</v>
      </c>
      <c r="F1689" s="4" t="s">
        <v>792</v>
      </c>
    </row>
    <row r="1691" spans="1:7" ht="264" customHeight="1">
      <c r="A1691" s="2">
        <v>564</v>
      </c>
      <c r="B1691" s="3" t="s">
        <v>793</v>
      </c>
      <c r="C1691">
        <f>IMAGE("https://raw.githubusercontent.com/stautonico/tcg-livingdex/main/images/564/1.png", 2)</f>
        <v>0</v>
      </c>
      <c r="G1691" t="s">
        <v>9</v>
      </c>
    </row>
    <row r="1692" spans="1:7">
      <c r="C1692" s="4" t="s">
        <v>8</v>
      </c>
    </row>
    <row r="1694" spans="1:7" ht="264" customHeight="1">
      <c r="A1694" s="2">
        <v>565</v>
      </c>
      <c r="B1694" s="3" t="s">
        <v>794</v>
      </c>
      <c r="C1694">
        <f>IMAGE("https://raw.githubusercontent.com/stautonico/tcg-livingdex/main/images/565/1.png", 2)</f>
        <v>0</v>
      </c>
      <c r="G1694" t="s">
        <v>9</v>
      </c>
    </row>
    <row r="1695" spans="1:7">
      <c r="C1695" s="4" t="s">
        <v>8</v>
      </c>
    </row>
    <row r="1697" spans="1:7" ht="264" customHeight="1">
      <c r="A1697" s="2">
        <v>566</v>
      </c>
      <c r="B1697" s="3" t="s">
        <v>795</v>
      </c>
      <c r="C1697">
        <f>IMAGE("https://raw.githubusercontent.com/stautonico/tcg-livingdex/main/images/566/1.png", 2)</f>
        <v>0</v>
      </c>
      <c r="G1697" t="s">
        <v>9</v>
      </c>
    </row>
    <row r="1698" spans="1:7">
      <c r="C1698" s="4" t="s">
        <v>8</v>
      </c>
    </row>
    <row r="1700" spans="1:7" ht="264" customHeight="1">
      <c r="A1700" s="2">
        <v>567</v>
      </c>
      <c r="B1700" s="3" t="s">
        <v>796</v>
      </c>
      <c r="C1700">
        <f>IMAGE("https://raw.githubusercontent.com/stautonico/tcg-livingdex/main/images/567/1.png", 2)</f>
        <v>0</v>
      </c>
      <c r="G1700" t="s">
        <v>9</v>
      </c>
    </row>
    <row r="1701" spans="1:7">
      <c r="C1701" s="4" t="s">
        <v>8</v>
      </c>
    </row>
    <row r="1703" spans="1:7" ht="264" customHeight="1">
      <c r="A1703" s="2">
        <v>568</v>
      </c>
      <c r="B1703" s="3" t="s">
        <v>797</v>
      </c>
      <c r="C1703">
        <f>IMAGE("https://raw.githubusercontent.com/stautonico/tcg-livingdex/main/images/568/1.png", 2)</f>
        <v>0</v>
      </c>
      <c r="G1703" t="s">
        <v>9</v>
      </c>
    </row>
    <row r="1704" spans="1:7">
      <c r="C1704" s="4" t="s">
        <v>8</v>
      </c>
    </row>
    <row r="1706" spans="1:7" ht="264" customHeight="1">
      <c r="A1706" s="2">
        <v>569</v>
      </c>
      <c r="B1706" s="3" t="s">
        <v>798</v>
      </c>
      <c r="C1706">
        <f>IMAGE("https://raw.githubusercontent.com/stautonico/tcg-livingdex/main/images/569/1.png", 2)</f>
        <v>0</v>
      </c>
      <c r="G1706" t="s">
        <v>9</v>
      </c>
    </row>
    <row r="1707" spans="1:7">
      <c r="C1707" s="4" t="s">
        <v>8</v>
      </c>
    </row>
    <row r="1709" spans="1:7" ht="264" customHeight="1">
      <c r="A1709" s="2">
        <v>570</v>
      </c>
      <c r="B1709" s="3" t="s">
        <v>799</v>
      </c>
      <c r="C1709">
        <f>IMAGE("https://raw.githubusercontent.com/stautonico/tcg-livingdex/main/images/570/1.png", 2)</f>
        <v>0</v>
      </c>
      <c r="G1709" t="s">
        <v>9</v>
      </c>
    </row>
    <row r="1710" spans="1:7">
      <c r="C1710" s="4" t="s">
        <v>8</v>
      </c>
    </row>
    <row r="1712" spans="1:7" ht="264" customHeight="1">
      <c r="A1712" s="2">
        <v>571</v>
      </c>
      <c r="B1712" s="3" t="s">
        <v>800</v>
      </c>
      <c r="C1712">
        <f>IMAGE("https://raw.githubusercontent.com/stautonico/tcg-livingdex/main/images/571/1.png", 2)</f>
        <v>0</v>
      </c>
      <c r="G1712" t="s">
        <v>9</v>
      </c>
    </row>
    <row r="1713" spans="1:7">
      <c r="C1713" s="4" t="s">
        <v>8</v>
      </c>
    </row>
    <row r="1715" spans="1:7" ht="264" customHeight="1">
      <c r="A1715" s="2">
        <v>572</v>
      </c>
      <c r="B1715" s="3" t="s">
        <v>801</v>
      </c>
      <c r="C1715">
        <f>IMAGE("https://raw.githubusercontent.com/stautonico/tcg-livingdex/main/images/572/1.png", 2)</f>
        <v>0</v>
      </c>
      <c r="G1715" t="s">
        <v>9</v>
      </c>
    </row>
    <row r="1716" spans="1:7">
      <c r="C1716" s="4" t="s">
        <v>8</v>
      </c>
    </row>
    <row r="1718" spans="1:7" ht="264" customHeight="1">
      <c r="A1718" s="2">
        <v>573</v>
      </c>
      <c r="B1718" s="3" t="s">
        <v>802</v>
      </c>
      <c r="C1718">
        <f>IMAGE("https://raw.githubusercontent.com/stautonico/tcg-livingdex/main/images/573/1.png", 2)</f>
        <v>0</v>
      </c>
      <c r="G1718" t="s">
        <v>9</v>
      </c>
    </row>
    <row r="1719" spans="1:7">
      <c r="C1719" s="4" t="s">
        <v>8</v>
      </c>
    </row>
    <row r="1721" spans="1:7" ht="264" customHeight="1">
      <c r="A1721" s="2">
        <v>574</v>
      </c>
      <c r="B1721" s="3" t="s">
        <v>803</v>
      </c>
      <c r="C1721">
        <f>IMAGE("https://raw.githubusercontent.com/stautonico/tcg-livingdex/main/images/574/1.png", 2)</f>
        <v>0</v>
      </c>
      <c r="G1721" t="s">
        <v>9</v>
      </c>
    </row>
    <row r="1722" spans="1:7">
      <c r="C1722" s="4" t="s">
        <v>8</v>
      </c>
    </row>
    <row r="1724" spans="1:7" ht="264" customHeight="1">
      <c r="A1724" s="2">
        <v>575</v>
      </c>
      <c r="B1724" s="3" t="s">
        <v>804</v>
      </c>
      <c r="C1724">
        <f>IMAGE("https://raw.githubusercontent.com/stautonico/tcg-livingdex/main/images/575/1.png", 2)</f>
        <v>0</v>
      </c>
      <c r="G1724" t="s">
        <v>9</v>
      </c>
    </row>
    <row r="1725" spans="1:7">
      <c r="C1725" s="4" t="s">
        <v>8</v>
      </c>
    </row>
    <row r="1727" spans="1:7" ht="264" customHeight="1">
      <c r="A1727" s="2">
        <v>576</v>
      </c>
      <c r="B1727" s="3" t="s">
        <v>805</v>
      </c>
      <c r="C1727">
        <f>IMAGE("https://raw.githubusercontent.com/stautonico/tcg-livingdex/main/images/576/1.png", 2)</f>
        <v>0</v>
      </c>
      <c r="G1727" t="s">
        <v>9</v>
      </c>
    </row>
    <row r="1728" spans="1:7">
      <c r="C1728" s="4" t="s">
        <v>8</v>
      </c>
    </row>
    <row r="1730" spans="1:7" ht="264" customHeight="1">
      <c r="A1730" s="2">
        <v>577</v>
      </c>
      <c r="B1730" s="3" t="s">
        <v>806</v>
      </c>
      <c r="C1730">
        <f>IMAGE("https://raw.githubusercontent.com/stautonico/tcg-livingdex/main/images/577/1.png", 2)</f>
        <v>0</v>
      </c>
      <c r="G1730" t="s">
        <v>9</v>
      </c>
    </row>
    <row r="1731" spans="1:7">
      <c r="C1731" s="4" t="s">
        <v>8</v>
      </c>
    </row>
    <row r="1733" spans="1:7" ht="264" customHeight="1">
      <c r="A1733" s="2">
        <v>578</v>
      </c>
      <c r="B1733" s="3" t="s">
        <v>807</v>
      </c>
      <c r="C1733">
        <f>IMAGE("https://raw.githubusercontent.com/stautonico/tcg-livingdex/main/images/578/1.png", 2)</f>
        <v>0</v>
      </c>
      <c r="G1733" t="s">
        <v>9</v>
      </c>
    </row>
    <row r="1734" spans="1:7">
      <c r="C1734" s="4" t="s">
        <v>8</v>
      </c>
    </row>
    <row r="1736" spans="1:7" ht="264" customHeight="1">
      <c r="A1736" s="2">
        <v>579</v>
      </c>
      <c r="B1736" s="3" t="s">
        <v>808</v>
      </c>
      <c r="C1736">
        <f>IMAGE("https://raw.githubusercontent.com/stautonico/tcg-livingdex/main/images/579/1.png", 2)</f>
        <v>0</v>
      </c>
      <c r="G1736" t="s">
        <v>9</v>
      </c>
    </row>
    <row r="1737" spans="1:7">
      <c r="C1737" s="4" t="s">
        <v>8</v>
      </c>
    </row>
    <row r="1739" spans="1:7" ht="264" customHeight="1">
      <c r="A1739" s="2">
        <v>580</v>
      </c>
      <c r="B1739" s="3" t="s">
        <v>809</v>
      </c>
      <c r="C1739">
        <f>IMAGE("https://raw.githubusercontent.com/stautonico/tcg-livingdex/main/images/580/1.png", 2)</f>
        <v>0</v>
      </c>
      <c r="G1739" t="s">
        <v>9</v>
      </c>
    </row>
    <row r="1740" spans="1:7">
      <c r="C1740" s="4" t="s">
        <v>8</v>
      </c>
    </row>
    <row r="1742" spans="1:7" ht="264" customHeight="1">
      <c r="A1742" s="2">
        <v>581</v>
      </c>
      <c r="B1742" s="3" t="s">
        <v>810</v>
      </c>
      <c r="C1742">
        <f>IMAGE("https://raw.githubusercontent.com/stautonico/tcg-livingdex/main/images/581/1.png", 2)</f>
        <v>0</v>
      </c>
      <c r="G1742" t="s">
        <v>9</v>
      </c>
    </row>
    <row r="1743" spans="1:7">
      <c r="C1743" s="4" t="s">
        <v>8</v>
      </c>
    </row>
    <row r="1745" spans="1:7" ht="264" customHeight="1">
      <c r="A1745" s="2">
        <v>582</v>
      </c>
      <c r="B1745" s="3" t="s">
        <v>811</v>
      </c>
      <c r="C1745">
        <f>IMAGE("https://raw.githubusercontent.com/stautonico/tcg-livingdex/main/images/582/1.png", 2)</f>
        <v>0</v>
      </c>
      <c r="G1745" t="s">
        <v>9</v>
      </c>
    </row>
    <row r="1746" spans="1:7">
      <c r="C1746" s="4" t="s">
        <v>8</v>
      </c>
    </row>
    <row r="1748" spans="1:7" ht="264" customHeight="1">
      <c r="A1748" s="2">
        <v>583</v>
      </c>
      <c r="B1748" s="3" t="s">
        <v>812</v>
      </c>
      <c r="C1748">
        <f>IMAGE("https://raw.githubusercontent.com/stautonico/tcg-livingdex/main/images/583/1.png", 2)</f>
        <v>0</v>
      </c>
      <c r="G1748" t="s">
        <v>9</v>
      </c>
    </row>
    <row r="1749" spans="1:7">
      <c r="C1749" s="4" t="s">
        <v>8</v>
      </c>
    </row>
    <row r="1751" spans="1:7" ht="264" customHeight="1">
      <c r="A1751" s="2">
        <v>584</v>
      </c>
      <c r="B1751" s="3" t="s">
        <v>813</v>
      </c>
      <c r="C1751">
        <f>IMAGE("https://raw.githubusercontent.com/stautonico/tcg-livingdex/main/images/584/1.png", 2)</f>
        <v>0</v>
      </c>
      <c r="G1751" t="s">
        <v>9</v>
      </c>
    </row>
    <row r="1752" spans="1:7">
      <c r="C1752" s="4" t="s">
        <v>8</v>
      </c>
    </row>
    <row r="1754" spans="1:7" ht="264" customHeight="1">
      <c r="A1754" s="2">
        <v>585</v>
      </c>
      <c r="B1754" s="3" t="s">
        <v>814</v>
      </c>
      <c r="C1754">
        <f>IMAGE("https://raw.githubusercontent.com/stautonico/tcg-livingdex/main/images/585/1.png", 2)</f>
        <v>0</v>
      </c>
      <c r="G1754" t="s">
        <v>9</v>
      </c>
    </row>
    <row r="1755" spans="1:7">
      <c r="C1755" s="4" t="s">
        <v>8</v>
      </c>
    </row>
    <row r="1757" spans="1:7" ht="264" customHeight="1">
      <c r="A1757" s="2">
        <v>586</v>
      </c>
      <c r="B1757" s="3" t="s">
        <v>815</v>
      </c>
      <c r="C1757">
        <f>IMAGE("https://raw.githubusercontent.com/stautonico/tcg-livingdex/main/images/586/1.png", 2)</f>
        <v>0</v>
      </c>
      <c r="G1757" t="s">
        <v>9</v>
      </c>
    </row>
    <row r="1758" spans="1:7">
      <c r="C1758" s="4" t="s">
        <v>8</v>
      </c>
    </row>
    <row r="1760" spans="1:7" ht="264" customHeight="1">
      <c r="A1760" s="2">
        <v>587</v>
      </c>
      <c r="B1760" s="3" t="s">
        <v>816</v>
      </c>
      <c r="C1760">
        <f>IMAGE("https://raw.githubusercontent.com/stautonico/tcg-livingdex/main/images/587/1.png", 2)</f>
        <v>0</v>
      </c>
      <c r="G1760" t="s">
        <v>9</v>
      </c>
    </row>
    <row r="1761" spans="1:7">
      <c r="C1761" s="4" t="s">
        <v>8</v>
      </c>
    </row>
    <row r="1763" spans="1:7" ht="264" customHeight="1">
      <c r="A1763" s="2">
        <v>588</v>
      </c>
      <c r="B1763" s="3" t="s">
        <v>817</v>
      </c>
      <c r="C1763">
        <f>IMAGE("https://raw.githubusercontent.com/stautonico/tcg-livingdex/main/images/588/1.png", 2)</f>
        <v>0</v>
      </c>
      <c r="G1763" t="s">
        <v>9</v>
      </c>
    </row>
    <row r="1764" spans="1:7">
      <c r="C1764" s="4" t="s">
        <v>8</v>
      </c>
    </row>
    <row r="1766" spans="1:7" ht="264" customHeight="1">
      <c r="A1766" s="2">
        <v>589</v>
      </c>
      <c r="B1766" s="3" t="s">
        <v>818</v>
      </c>
      <c r="C1766">
        <f>IMAGE("https://raw.githubusercontent.com/stautonico/tcg-livingdex/main/images/589/1.png", 2)</f>
        <v>0</v>
      </c>
      <c r="G1766" t="s">
        <v>9</v>
      </c>
    </row>
    <row r="1767" spans="1:7">
      <c r="C1767" s="4" t="s">
        <v>8</v>
      </c>
    </row>
    <row r="1769" spans="1:7" ht="264" customHeight="1">
      <c r="A1769" s="2">
        <v>590</v>
      </c>
      <c r="B1769" s="3" t="s">
        <v>819</v>
      </c>
      <c r="C1769">
        <f>IMAGE("https://raw.githubusercontent.com/stautonico/tcg-livingdex/main/images/590/1.png", 2)</f>
        <v>0</v>
      </c>
      <c r="G1769" t="s">
        <v>9</v>
      </c>
    </row>
    <row r="1770" spans="1:7">
      <c r="C1770" s="4" t="s">
        <v>8</v>
      </c>
    </row>
    <row r="1772" spans="1:7" ht="264" customHeight="1">
      <c r="A1772" s="2">
        <v>591</v>
      </c>
      <c r="B1772" s="3" t="s">
        <v>820</v>
      </c>
      <c r="C1772">
        <f>IMAGE("https://raw.githubusercontent.com/stautonico/tcg-livingdex/main/images/591/1.png", 2)</f>
        <v>0</v>
      </c>
      <c r="G1772" t="s">
        <v>9</v>
      </c>
    </row>
    <row r="1773" spans="1:7">
      <c r="C1773" s="4" t="s">
        <v>8</v>
      </c>
    </row>
    <row r="1775" spans="1:7" ht="264" customHeight="1">
      <c r="A1775" s="2">
        <v>592</v>
      </c>
      <c r="B1775" s="3" t="s">
        <v>821</v>
      </c>
      <c r="C1775">
        <f>IMAGE("https://raw.githubusercontent.com/stautonico/tcg-livingdex/main/images/592/1.png", 2)</f>
        <v>0</v>
      </c>
      <c r="G1775" t="s">
        <v>9</v>
      </c>
    </row>
    <row r="1776" spans="1:7">
      <c r="C1776" s="4" t="s">
        <v>8</v>
      </c>
    </row>
    <row r="1778" spans="1:7" ht="264" customHeight="1">
      <c r="A1778" s="2">
        <v>593</v>
      </c>
      <c r="B1778" s="3" t="s">
        <v>822</v>
      </c>
      <c r="C1778">
        <f>IMAGE("https://raw.githubusercontent.com/stautonico/tcg-livingdex/main/images/593/1.png", 2)</f>
        <v>0</v>
      </c>
      <c r="G1778" t="s">
        <v>9</v>
      </c>
    </row>
    <row r="1779" spans="1:7">
      <c r="C1779" s="4" t="s">
        <v>8</v>
      </c>
    </row>
    <row r="1781" spans="1:7" ht="264" customHeight="1">
      <c r="A1781" s="2">
        <v>594</v>
      </c>
      <c r="B1781" s="3" t="s">
        <v>823</v>
      </c>
      <c r="C1781">
        <f>IMAGE("https://raw.githubusercontent.com/stautonico/tcg-livingdex/main/images/594/1.png", 2)</f>
        <v>0</v>
      </c>
      <c r="G1781" t="s">
        <v>9</v>
      </c>
    </row>
    <row r="1782" spans="1:7">
      <c r="C1782" s="4" t="s">
        <v>8</v>
      </c>
    </row>
    <row r="1784" spans="1:7" ht="264" customHeight="1">
      <c r="A1784" s="2">
        <v>595</v>
      </c>
      <c r="B1784" s="3" t="s">
        <v>824</v>
      </c>
      <c r="C1784">
        <f>IMAGE("https://raw.githubusercontent.com/stautonico/tcg-livingdex/main/images/595/1.png", 2)</f>
        <v>0</v>
      </c>
      <c r="G1784" t="s">
        <v>9</v>
      </c>
    </row>
    <row r="1785" spans="1:7">
      <c r="C1785" s="4" t="s">
        <v>825</v>
      </c>
    </row>
    <row r="1787" spans="1:7" ht="264" customHeight="1">
      <c r="A1787" s="2">
        <v>596</v>
      </c>
      <c r="B1787" s="3" t="s">
        <v>826</v>
      </c>
      <c r="C1787">
        <f>IMAGE("https://raw.githubusercontent.com/stautonico/tcg-livingdex/main/images/596/1.png", 2)</f>
        <v>0</v>
      </c>
      <c r="G1787" t="s">
        <v>9</v>
      </c>
    </row>
    <row r="1788" spans="1:7">
      <c r="C1788" s="4" t="s">
        <v>8</v>
      </c>
    </row>
    <row r="1790" spans="1:7" ht="264" customHeight="1">
      <c r="A1790" s="2">
        <v>597</v>
      </c>
      <c r="B1790" s="3" t="s">
        <v>827</v>
      </c>
      <c r="C1790">
        <f>IMAGE("https://raw.githubusercontent.com/stautonico/tcg-livingdex/main/images/597/1.png", 2)</f>
        <v>0</v>
      </c>
      <c r="G1790" t="s">
        <v>9</v>
      </c>
    </row>
    <row r="1791" spans="1:7">
      <c r="C1791" s="4" t="s">
        <v>8</v>
      </c>
    </row>
    <row r="1793" spans="1:7" ht="264" customHeight="1">
      <c r="A1793" s="2">
        <v>598</v>
      </c>
      <c r="B1793" s="3" t="s">
        <v>828</v>
      </c>
      <c r="C1793">
        <f>IMAGE("https://raw.githubusercontent.com/stautonico/tcg-livingdex/main/images/598/1.png", 2)</f>
        <v>0</v>
      </c>
      <c r="G1793" t="s">
        <v>9</v>
      </c>
    </row>
    <row r="1794" spans="1:7">
      <c r="C1794" s="4" t="s">
        <v>829</v>
      </c>
    </row>
    <row r="1796" spans="1:7" ht="264" customHeight="1">
      <c r="A1796" s="2">
        <v>599</v>
      </c>
      <c r="B1796" s="3" t="s">
        <v>830</v>
      </c>
      <c r="C1796">
        <f>IMAGE("https://raw.githubusercontent.com/stautonico/tcg-livingdex/main/images/599/1.png", 2)</f>
        <v>0</v>
      </c>
      <c r="G1796" t="s">
        <v>9</v>
      </c>
    </row>
    <row r="1797" spans="1:7">
      <c r="C1797" s="4" t="s">
        <v>8</v>
      </c>
    </row>
    <row r="1799" spans="1:7" ht="264" customHeight="1">
      <c r="A1799" s="2">
        <v>600</v>
      </c>
      <c r="B1799" s="3" t="s">
        <v>831</v>
      </c>
      <c r="C1799">
        <f>IMAGE("https://raw.githubusercontent.com/stautonico/tcg-livingdex/main/images/600/1.png", 2)</f>
        <v>0</v>
      </c>
      <c r="G1799" t="s">
        <v>9</v>
      </c>
    </row>
    <row r="1800" spans="1:7">
      <c r="C1800" s="4" t="s">
        <v>8</v>
      </c>
    </row>
    <row r="1802" spans="1:7" ht="264" customHeight="1">
      <c r="A1802" s="2">
        <v>601</v>
      </c>
      <c r="B1802" s="3" t="s">
        <v>832</v>
      </c>
      <c r="C1802">
        <f>IMAGE("https://raw.githubusercontent.com/stautonico/tcg-livingdex/main/images/601/1.png", 2)</f>
        <v>0</v>
      </c>
      <c r="G1802" t="s">
        <v>9</v>
      </c>
    </row>
    <row r="1803" spans="1:7">
      <c r="C1803" s="4" t="s">
        <v>8</v>
      </c>
    </row>
    <row r="1805" spans="1:7" ht="264" customHeight="1">
      <c r="A1805" s="2">
        <v>602</v>
      </c>
      <c r="B1805" s="3" t="s">
        <v>833</v>
      </c>
      <c r="C1805">
        <f>IMAGE("https://raw.githubusercontent.com/stautonico/tcg-livingdex/main/images/602/1.png", 2)</f>
        <v>0</v>
      </c>
      <c r="G1805" t="s">
        <v>9</v>
      </c>
    </row>
    <row r="1806" spans="1:7">
      <c r="C1806" s="4" t="s">
        <v>8</v>
      </c>
    </row>
    <row r="1808" spans="1:7" ht="264" customHeight="1">
      <c r="A1808" s="2">
        <v>603</v>
      </c>
      <c r="B1808" s="3" t="s">
        <v>834</v>
      </c>
      <c r="C1808">
        <f>IMAGE("https://raw.githubusercontent.com/stautonico/tcg-livingdex/main/images/603/1.png", 2)</f>
        <v>0</v>
      </c>
      <c r="G1808" t="s">
        <v>9</v>
      </c>
    </row>
    <row r="1809" spans="1:7">
      <c r="C1809" s="4" t="s">
        <v>8</v>
      </c>
    </row>
    <row r="1811" spans="1:7" ht="264" customHeight="1">
      <c r="A1811" s="2">
        <v>604</v>
      </c>
      <c r="B1811" s="3" t="s">
        <v>835</v>
      </c>
      <c r="C1811">
        <f>IMAGE("https://raw.githubusercontent.com/stautonico/tcg-livingdex/main/images/604/1.png", 2)</f>
        <v>0</v>
      </c>
      <c r="D1811">
        <f>IMAGE("https://raw.githubusercontent.com/stautonico/tcg-livingdex/main/images/604/2.png", 2)</f>
        <v>0</v>
      </c>
      <c r="E1811">
        <f>IMAGE("https://raw.githubusercontent.com/stautonico/tcg-livingdex/main/images/604/3.png", 2)</f>
        <v>0</v>
      </c>
      <c r="F1811">
        <f>IMAGE("https://raw.githubusercontent.com/stautonico/tcg-livingdex/main/images/604/4.png", 2)</f>
        <v>0</v>
      </c>
      <c r="G1811" t="s">
        <v>9</v>
      </c>
    </row>
    <row r="1812" spans="1:7">
      <c r="C1812" s="4" t="s">
        <v>836</v>
      </c>
      <c r="D1812" s="4" t="s">
        <v>837</v>
      </c>
      <c r="E1812" s="4" t="s">
        <v>838</v>
      </c>
      <c r="F1812" s="4" t="s">
        <v>839</v>
      </c>
    </row>
    <row r="1814" spans="1:7" ht="264" customHeight="1">
      <c r="A1814" s="2">
        <v>605</v>
      </c>
      <c r="B1814" s="3" t="s">
        <v>840</v>
      </c>
      <c r="C1814">
        <f>IMAGE("https://raw.githubusercontent.com/stautonico/tcg-livingdex/main/images/605/1.png", 2)</f>
        <v>0</v>
      </c>
      <c r="G1814" t="s">
        <v>9</v>
      </c>
    </row>
    <row r="1815" spans="1:7">
      <c r="C1815" s="4" t="s">
        <v>8</v>
      </c>
    </row>
    <row r="1817" spans="1:7" ht="264" customHeight="1">
      <c r="A1817" s="2">
        <v>606</v>
      </c>
      <c r="B1817" s="3" t="s">
        <v>841</v>
      </c>
      <c r="C1817">
        <f>IMAGE("https://raw.githubusercontent.com/stautonico/tcg-livingdex/main/images/606/1.png", 2)</f>
        <v>0</v>
      </c>
      <c r="G1817" t="s">
        <v>9</v>
      </c>
    </row>
    <row r="1818" spans="1:7">
      <c r="C1818" s="4" t="s">
        <v>8</v>
      </c>
    </row>
    <row r="1820" spans="1:7" ht="264" customHeight="1">
      <c r="A1820" s="2">
        <v>607</v>
      </c>
      <c r="B1820" s="3" t="s">
        <v>842</v>
      </c>
      <c r="C1820">
        <f>IMAGE("https://raw.githubusercontent.com/stautonico/tcg-livingdex/main/images/607/1.png", 2)</f>
        <v>0</v>
      </c>
      <c r="G1820" t="s">
        <v>9</v>
      </c>
    </row>
    <row r="1821" spans="1:7">
      <c r="C1821" s="4" t="s">
        <v>8</v>
      </c>
    </row>
    <row r="1823" spans="1:7" ht="264" customHeight="1">
      <c r="A1823" s="2">
        <v>608</v>
      </c>
      <c r="B1823" s="3" t="s">
        <v>843</v>
      </c>
      <c r="C1823">
        <f>IMAGE("https://raw.githubusercontent.com/stautonico/tcg-livingdex/main/images/608/1.png", 2)</f>
        <v>0</v>
      </c>
      <c r="G1823" t="s">
        <v>9</v>
      </c>
    </row>
    <row r="1824" spans="1:7">
      <c r="C1824" s="4" t="s">
        <v>8</v>
      </c>
    </row>
    <row r="1826" spans="1:7" ht="264" customHeight="1">
      <c r="A1826" s="2">
        <v>609</v>
      </c>
      <c r="B1826" s="3" t="s">
        <v>844</v>
      </c>
      <c r="C1826">
        <f>IMAGE("https://raw.githubusercontent.com/stautonico/tcg-livingdex/main/images/609/1.png", 2)</f>
        <v>0</v>
      </c>
      <c r="G1826" t="s">
        <v>9</v>
      </c>
    </row>
    <row r="1827" spans="1:7">
      <c r="C1827" s="4" t="s">
        <v>8</v>
      </c>
    </row>
    <row r="1829" spans="1:7" ht="264" customHeight="1">
      <c r="A1829" s="2">
        <v>610</v>
      </c>
      <c r="B1829" s="3" t="s">
        <v>845</v>
      </c>
      <c r="C1829">
        <f>IMAGE("https://raw.githubusercontent.com/stautonico/tcg-livingdex/main/images/610/1.png", 2)</f>
        <v>0</v>
      </c>
      <c r="D1829">
        <f>IMAGE("https://raw.githubusercontent.com/stautonico/tcg-livingdex/main/images/610/2.png", 2)</f>
        <v>0</v>
      </c>
      <c r="E1829">
        <f>IMAGE("https://raw.githubusercontent.com/stautonico/tcg-livingdex/main/images/610/3.png", 2)</f>
        <v>0</v>
      </c>
      <c r="F1829">
        <f>IMAGE("https://raw.githubusercontent.com/stautonico/tcg-livingdex/main/images/610/4.png", 2)</f>
        <v>0</v>
      </c>
      <c r="G1829" t="s">
        <v>9</v>
      </c>
    </row>
    <row r="1830" spans="1:7">
      <c r="C1830" s="4" t="s">
        <v>846</v>
      </c>
      <c r="D1830" s="4" t="s">
        <v>847</v>
      </c>
      <c r="E1830" s="4" t="s">
        <v>848</v>
      </c>
      <c r="F1830" s="4" t="s">
        <v>849</v>
      </c>
    </row>
    <row r="1832" spans="1:7" ht="264" customHeight="1">
      <c r="A1832" s="2">
        <v>611</v>
      </c>
      <c r="B1832" s="3" t="s">
        <v>850</v>
      </c>
      <c r="C1832">
        <f>IMAGE("https://raw.githubusercontent.com/stautonico/tcg-livingdex/main/images/611/1.png", 2)</f>
        <v>0</v>
      </c>
      <c r="G1832" t="s">
        <v>9</v>
      </c>
    </row>
    <row r="1833" spans="1:7">
      <c r="C1833" s="4" t="s">
        <v>8</v>
      </c>
    </row>
    <row r="1835" spans="1:7" ht="264" customHeight="1">
      <c r="A1835" s="2">
        <v>612</v>
      </c>
      <c r="B1835" s="3" t="s">
        <v>851</v>
      </c>
      <c r="C1835">
        <f>IMAGE("https://raw.githubusercontent.com/stautonico/tcg-livingdex/main/images/612/1.png", 2)</f>
        <v>0</v>
      </c>
      <c r="G1835" t="s">
        <v>9</v>
      </c>
    </row>
    <row r="1836" spans="1:7">
      <c r="C1836" s="4" t="s">
        <v>8</v>
      </c>
    </row>
    <row r="1838" spans="1:7" ht="264" customHeight="1">
      <c r="A1838" s="2">
        <v>613</v>
      </c>
      <c r="B1838" s="3" t="s">
        <v>852</v>
      </c>
      <c r="C1838">
        <f>IMAGE("https://raw.githubusercontent.com/stautonico/tcg-livingdex/main/images/613/1.png", 2)</f>
        <v>0</v>
      </c>
      <c r="G1838" t="s">
        <v>9</v>
      </c>
    </row>
    <row r="1839" spans="1:7">
      <c r="C1839" s="4" t="s">
        <v>8</v>
      </c>
    </row>
    <row r="1841" spans="1:7" ht="264" customHeight="1">
      <c r="A1841" s="2">
        <v>614</v>
      </c>
      <c r="B1841" s="3" t="s">
        <v>853</v>
      </c>
      <c r="C1841">
        <f>IMAGE("https://raw.githubusercontent.com/stautonico/tcg-livingdex/main/images/614/1.png", 2)</f>
        <v>0</v>
      </c>
      <c r="G1841" t="s">
        <v>9</v>
      </c>
    </row>
    <row r="1842" spans="1:7">
      <c r="C1842" s="4" t="s">
        <v>8</v>
      </c>
    </row>
    <row r="1844" spans="1:7" ht="264" customHeight="1">
      <c r="A1844" s="2">
        <v>615</v>
      </c>
      <c r="B1844" s="3" t="s">
        <v>854</v>
      </c>
      <c r="C1844">
        <f>IMAGE("https://raw.githubusercontent.com/stautonico/tcg-livingdex/main/images/615/1.png", 2)</f>
        <v>0</v>
      </c>
      <c r="G1844" t="s">
        <v>9</v>
      </c>
    </row>
    <row r="1845" spans="1:7">
      <c r="C1845" s="4" t="s">
        <v>8</v>
      </c>
    </row>
    <row r="1847" spans="1:7" ht="264" customHeight="1">
      <c r="A1847" s="2">
        <v>616</v>
      </c>
      <c r="B1847" s="3" t="s">
        <v>855</v>
      </c>
      <c r="C1847">
        <f>IMAGE("https://raw.githubusercontent.com/stautonico/tcg-livingdex/main/images/616/1.png", 2)</f>
        <v>0</v>
      </c>
      <c r="G1847" t="s">
        <v>9</v>
      </c>
    </row>
    <row r="1848" spans="1:7">
      <c r="C1848" s="4" t="s">
        <v>8</v>
      </c>
    </row>
    <row r="1850" spans="1:7" ht="264" customHeight="1">
      <c r="A1850" s="2">
        <v>617</v>
      </c>
      <c r="B1850" s="3" t="s">
        <v>856</v>
      </c>
      <c r="C1850">
        <f>IMAGE("https://raw.githubusercontent.com/stautonico/tcg-livingdex/main/images/617/1.png", 2)</f>
        <v>0</v>
      </c>
      <c r="G1850" t="s">
        <v>9</v>
      </c>
    </row>
    <row r="1851" spans="1:7">
      <c r="C1851" s="4" t="s">
        <v>8</v>
      </c>
    </row>
    <row r="1853" spans="1:7" ht="264" customHeight="1">
      <c r="A1853" s="2">
        <v>618</v>
      </c>
      <c r="B1853" s="3" t="s">
        <v>857</v>
      </c>
      <c r="C1853">
        <f>IMAGE("https://raw.githubusercontent.com/stautonico/tcg-livingdex/main/images/618/1.png", 2)</f>
        <v>0</v>
      </c>
      <c r="G1853" t="s">
        <v>9</v>
      </c>
    </row>
    <row r="1854" spans="1:7">
      <c r="C1854" s="4" t="s">
        <v>8</v>
      </c>
    </row>
    <row r="1856" spans="1:7" ht="264" customHeight="1">
      <c r="A1856" s="2">
        <v>619</v>
      </c>
      <c r="B1856" s="3" t="s">
        <v>858</v>
      </c>
      <c r="C1856">
        <f>IMAGE("https://raw.githubusercontent.com/stautonico/tcg-livingdex/main/images/619/1.png", 2)</f>
        <v>0</v>
      </c>
      <c r="G1856" t="s">
        <v>9</v>
      </c>
    </row>
    <row r="1857" spans="1:7">
      <c r="C1857" s="4" t="s">
        <v>8</v>
      </c>
    </row>
    <row r="1859" spans="1:7" ht="264" customHeight="1">
      <c r="A1859" s="2">
        <v>620</v>
      </c>
      <c r="B1859" s="3" t="s">
        <v>859</v>
      </c>
      <c r="C1859">
        <f>IMAGE("https://raw.githubusercontent.com/stautonico/tcg-livingdex/main/images/620/1.png", 2)</f>
        <v>0</v>
      </c>
      <c r="G1859" t="s">
        <v>9</v>
      </c>
    </row>
    <row r="1860" spans="1:7">
      <c r="C1860" s="4" t="s">
        <v>8</v>
      </c>
    </row>
    <row r="1862" spans="1:7" ht="264" customHeight="1">
      <c r="A1862" s="2">
        <v>621</v>
      </c>
      <c r="B1862" s="3" t="s">
        <v>860</v>
      </c>
      <c r="C1862">
        <f>IMAGE("https://raw.githubusercontent.com/stautonico/tcg-livingdex/main/images/621/1.png", 2)</f>
        <v>0</v>
      </c>
      <c r="G1862" t="s">
        <v>9</v>
      </c>
    </row>
    <row r="1863" spans="1:7">
      <c r="C1863" s="4" t="s">
        <v>8</v>
      </c>
    </row>
    <row r="1865" spans="1:7" ht="264" customHeight="1">
      <c r="A1865" s="2">
        <v>622</v>
      </c>
      <c r="B1865" s="3" t="s">
        <v>861</v>
      </c>
      <c r="C1865">
        <f>IMAGE("https://raw.githubusercontent.com/stautonico/tcg-livingdex/main/images/622/1.png", 2)</f>
        <v>0</v>
      </c>
      <c r="G1865" t="s">
        <v>9</v>
      </c>
    </row>
    <row r="1866" spans="1:7">
      <c r="C1866" s="4" t="s">
        <v>8</v>
      </c>
    </row>
    <row r="1868" spans="1:7" ht="264" customHeight="1">
      <c r="A1868" s="2">
        <v>623</v>
      </c>
      <c r="B1868" s="3" t="s">
        <v>862</v>
      </c>
      <c r="C1868">
        <f>IMAGE("https://raw.githubusercontent.com/stautonico/tcg-livingdex/main/images/623/1.png", 2)</f>
        <v>0</v>
      </c>
      <c r="G1868" t="s">
        <v>9</v>
      </c>
    </row>
    <row r="1869" spans="1:7">
      <c r="C1869" s="4" t="s">
        <v>8</v>
      </c>
    </row>
    <row r="1871" spans="1:7" ht="264" customHeight="1">
      <c r="A1871" s="2">
        <v>624</v>
      </c>
      <c r="B1871" s="3" t="s">
        <v>863</v>
      </c>
      <c r="C1871">
        <f>IMAGE("https://raw.githubusercontent.com/stautonico/tcg-livingdex/main/images/624/1.png", 2)</f>
        <v>0</v>
      </c>
      <c r="G1871" t="s">
        <v>9</v>
      </c>
    </row>
    <row r="1872" spans="1:7">
      <c r="C1872" s="4" t="s">
        <v>8</v>
      </c>
    </row>
    <row r="1874" spans="1:7" ht="264" customHeight="1">
      <c r="A1874" s="2">
        <v>625</v>
      </c>
      <c r="B1874" s="3" t="s">
        <v>864</v>
      </c>
      <c r="C1874">
        <f>IMAGE("https://raw.githubusercontent.com/stautonico/tcg-livingdex/main/images/625/1.png", 2)</f>
        <v>0</v>
      </c>
      <c r="G1874" t="s">
        <v>9</v>
      </c>
    </row>
    <row r="1875" spans="1:7">
      <c r="C1875" s="4" t="s">
        <v>8</v>
      </c>
    </row>
    <row r="1877" spans="1:7" ht="264" customHeight="1">
      <c r="A1877" s="2">
        <v>626</v>
      </c>
      <c r="B1877" s="3" t="s">
        <v>865</v>
      </c>
      <c r="C1877">
        <f>IMAGE("https://raw.githubusercontent.com/stautonico/tcg-livingdex/main/images/626/1.png", 2)</f>
        <v>0</v>
      </c>
      <c r="G1877" t="s">
        <v>9</v>
      </c>
    </row>
    <row r="1878" spans="1:7">
      <c r="C1878" s="4" t="s">
        <v>8</v>
      </c>
    </row>
    <row r="1880" spans="1:7" ht="264" customHeight="1">
      <c r="A1880" s="2">
        <v>627</v>
      </c>
      <c r="B1880" s="3" t="s">
        <v>866</v>
      </c>
      <c r="C1880">
        <f>IMAGE("https://raw.githubusercontent.com/stautonico/tcg-livingdex/main/images/627/1.png", 2)</f>
        <v>0</v>
      </c>
      <c r="D1880">
        <f>IMAGE("https://raw.githubusercontent.com/stautonico/tcg-livingdex/main/images/627/2.png", 2)</f>
        <v>0</v>
      </c>
      <c r="E1880">
        <f>IMAGE("https://raw.githubusercontent.com/stautonico/tcg-livingdex/main/images/627/3.png", 2)</f>
        <v>0</v>
      </c>
      <c r="F1880">
        <f>IMAGE("https://raw.githubusercontent.com/stautonico/tcg-livingdex/main/images/627/4.png", 2)</f>
        <v>0</v>
      </c>
      <c r="G1880" t="s">
        <v>9</v>
      </c>
    </row>
    <row r="1881" spans="1:7">
      <c r="C1881" s="4" t="s">
        <v>867</v>
      </c>
      <c r="D1881" s="4" t="s">
        <v>868</v>
      </c>
      <c r="E1881" s="4" t="s">
        <v>869</v>
      </c>
      <c r="F1881" s="4" t="s">
        <v>870</v>
      </c>
    </row>
    <row r="1883" spans="1:7" ht="264" customHeight="1">
      <c r="A1883" s="2">
        <v>628</v>
      </c>
      <c r="B1883" s="3" t="s">
        <v>871</v>
      </c>
      <c r="C1883">
        <f>IMAGE("https://raw.githubusercontent.com/stautonico/tcg-livingdex/main/images/628/1.png", 2)</f>
        <v>0</v>
      </c>
      <c r="G1883" t="s">
        <v>9</v>
      </c>
    </row>
    <row r="1884" spans="1:7">
      <c r="C1884" s="4" t="s">
        <v>8</v>
      </c>
    </row>
    <row r="1886" spans="1:7" ht="264" customHeight="1">
      <c r="A1886" s="2">
        <v>629</v>
      </c>
      <c r="B1886" s="3" t="s">
        <v>872</v>
      </c>
      <c r="C1886">
        <f>IMAGE("https://raw.githubusercontent.com/stautonico/tcg-livingdex/main/images/629/1.png", 2)</f>
        <v>0</v>
      </c>
      <c r="G1886" t="s">
        <v>9</v>
      </c>
    </row>
    <row r="1887" spans="1:7">
      <c r="C1887" s="4" t="s">
        <v>8</v>
      </c>
    </row>
    <row r="1889" spans="1:7" ht="264" customHeight="1">
      <c r="A1889" s="2">
        <v>630</v>
      </c>
      <c r="B1889" s="3" t="s">
        <v>873</v>
      </c>
      <c r="C1889">
        <f>IMAGE("https://raw.githubusercontent.com/stautonico/tcg-livingdex/main/images/630/1.png", 2)</f>
        <v>0</v>
      </c>
      <c r="G1889" t="s">
        <v>9</v>
      </c>
    </row>
    <row r="1890" spans="1:7">
      <c r="C1890" s="4" t="s">
        <v>8</v>
      </c>
    </row>
    <row r="1892" spans="1:7" ht="264" customHeight="1">
      <c r="A1892" s="2">
        <v>631</v>
      </c>
      <c r="B1892" s="3" t="s">
        <v>874</v>
      </c>
      <c r="C1892">
        <f>IMAGE("https://raw.githubusercontent.com/stautonico/tcg-livingdex/main/images/631/1.png", 2)</f>
        <v>0</v>
      </c>
      <c r="G1892" t="s">
        <v>9</v>
      </c>
    </row>
    <row r="1893" spans="1:7">
      <c r="C1893" s="4" t="s">
        <v>8</v>
      </c>
    </row>
    <row r="1895" spans="1:7" ht="264" customHeight="1">
      <c r="A1895" s="2">
        <v>632</v>
      </c>
      <c r="B1895" s="3" t="s">
        <v>875</v>
      </c>
      <c r="C1895">
        <f>IMAGE("https://raw.githubusercontent.com/stautonico/tcg-livingdex/main/images/632/1.png", 2)</f>
        <v>0</v>
      </c>
      <c r="G1895" t="s">
        <v>9</v>
      </c>
    </row>
    <row r="1896" spans="1:7">
      <c r="C1896" s="4" t="s">
        <v>8</v>
      </c>
    </row>
    <row r="1898" spans="1:7" ht="264" customHeight="1">
      <c r="A1898" s="2">
        <v>633</v>
      </c>
      <c r="B1898" s="3" t="s">
        <v>876</v>
      </c>
      <c r="C1898">
        <f>IMAGE("https://raw.githubusercontent.com/stautonico/tcg-livingdex/main/images/633/1.png", 2)</f>
        <v>0</v>
      </c>
      <c r="G1898" t="s">
        <v>9</v>
      </c>
    </row>
    <row r="1899" spans="1:7">
      <c r="C1899" s="4" t="s">
        <v>8</v>
      </c>
    </row>
    <row r="1901" spans="1:7" ht="264" customHeight="1">
      <c r="A1901" s="2">
        <v>634</v>
      </c>
      <c r="B1901" s="3" t="s">
        <v>877</v>
      </c>
      <c r="C1901">
        <f>IMAGE("https://raw.githubusercontent.com/stautonico/tcg-livingdex/main/images/634/1.png", 2)</f>
        <v>0</v>
      </c>
      <c r="G1901" t="s">
        <v>9</v>
      </c>
    </row>
    <row r="1902" spans="1:7">
      <c r="C1902" s="4" t="s">
        <v>8</v>
      </c>
    </row>
    <row r="1904" spans="1:7" ht="264" customHeight="1">
      <c r="A1904" s="2">
        <v>635</v>
      </c>
      <c r="B1904" s="3" t="s">
        <v>878</v>
      </c>
      <c r="C1904">
        <f>IMAGE("https://raw.githubusercontent.com/stautonico/tcg-livingdex/main/images/635/1.png", 2)</f>
        <v>0</v>
      </c>
      <c r="G1904" t="s">
        <v>9</v>
      </c>
    </row>
    <row r="1905" spans="1:7">
      <c r="C1905" s="4" t="s">
        <v>8</v>
      </c>
    </row>
    <row r="1907" spans="1:7" ht="264" customHeight="1">
      <c r="A1907" s="2">
        <v>636</v>
      </c>
      <c r="B1907" s="3" t="s">
        <v>879</v>
      </c>
      <c r="C1907">
        <f>IMAGE("https://raw.githubusercontent.com/stautonico/tcg-livingdex/main/images/636/1.png", 2)</f>
        <v>0</v>
      </c>
      <c r="G1907" t="s">
        <v>9</v>
      </c>
    </row>
    <row r="1908" spans="1:7">
      <c r="C1908" s="4" t="s">
        <v>8</v>
      </c>
    </row>
    <row r="1910" spans="1:7" ht="264" customHeight="1">
      <c r="A1910" s="2">
        <v>637</v>
      </c>
      <c r="B1910" s="3" t="s">
        <v>880</v>
      </c>
      <c r="C1910">
        <f>IMAGE("https://raw.githubusercontent.com/stautonico/tcg-livingdex/main/images/637/1.png", 2)</f>
        <v>0</v>
      </c>
      <c r="G1910" t="s">
        <v>9</v>
      </c>
    </row>
    <row r="1911" spans="1:7">
      <c r="C1911" s="4" t="s">
        <v>8</v>
      </c>
    </row>
    <row r="1913" spans="1:7" ht="264" customHeight="1">
      <c r="A1913" s="2">
        <v>638</v>
      </c>
      <c r="B1913" s="3" t="s">
        <v>881</v>
      </c>
      <c r="C1913">
        <f>IMAGE("https://raw.githubusercontent.com/stautonico/tcg-livingdex/main/images/638/1.png", 2)</f>
        <v>0</v>
      </c>
      <c r="G1913" t="s">
        <v>9</v>
      </c>
    </row>
    <row r="1914" spans="1:7">
      <c r="C1914" s="4" t="s">
        <v>8</v>
      </c>
    </row>
    <row r="1916" spans="1:7" ht="264" customHeight="1">
      <c r="A1916" s="2">
        <v>639</v>
      </c>
      <c r="B1916" s="3" t="s">
        <v>882</v>
      </c>
      <c r="C1916">
        <f>IMAGE("https://raw.githubusercontent.com/stautonico/tcg-livingdex/main/images/639/1.png", 2)</f>
        <v>0</v>
      </c>
      <c r="G1916" t="s">
        <v>9</v>
      </c>
    </row>
    <row r="1917" spans="1:7">
      <c r="C1917" s="4" t="s">
        <v>8</v>
      </c>
    </row>
    <row r="1919" spans="1:7" ht="264" customHeight="1">
      <c r="A1919" s="2">
        <v>640</v>
      </c>
      <c r="B1919" s="3" t="s">
        <v>883</v>
      </c>
      <c r="C1919">
        <f>IMAGE("https://raw.githubusercontent.com/stautonico/tcg-livingdex/main/images/640/1.png", 2)</f>
        <v>0</v>
      </c>
      <c r="G1919" t="s">
        <v>9</v>
      </c>
    </row>
    <row r="1920" spans="1:7">
      <c r="C1920" s="4" t="s">
        <v>8</v>
      </c>
    </row>
    <row r="1922" spans="1:7" ht="264" customHeight="1">
      <c r="A1922" s="2">
        <v>641</v>
      </c>
      <c r="B1922" s="3" t="s">
        <v>884</v>
      </c>
      <c r="C1922">
        <f>IMAGE("https://raw.githubusercontent.com/stautonico/tcg-livingdex/main/images/641/1.png", 2)</f>
        <v>0</v>
      </c>
      <c r="G1922" t="s">
        <v>9</v>
      </c>
    </row>
    <row r="1923" spans="1:7">
      <c r="C1923" s="4" t="s">
        <v>8</v>
      </c>
    </row>
    <row r="1925" spans="1:7" ht="264" customHeight="1">
      <c r="A1925" s="2">
        <v>642</v>
      </c>
      <c r="B1925" s="3" t="s">
        <v>885</v>
      </c>
      <c r="C1925">
        <f>IMAGE("https://raw.githubusercontent.com/stautonico/tcg-livingdex/main/images/642/1.png", 2)</f>
        <v>0</v>
      </c>
      <c r="G1925" t="s">
        <v>9</v>
      </c>
    </row>
    <row r="1926" spans="1:7">
      <c r="C1926" s="4" t="s">
        <v>8</v>
      </c>
    </row>
    <row r="1928" spans="1:7" ht="264" customHeight="1">
      <c r="A1928" s="2">
        <v>643</v>
      </c>
      <c r="B1928" s="3" t="s">
        <v>886</v>
      </c>
      <c r="C1928">
        <f>IMAGE("https://raw.githubusercontent.com/stautonico/tcg-livingdex/main/images/643/1.png", 2)</f>
        <v>0</v>
      </c>
      <c r="G1928" t="s">
        <v>9</v>
      </c>
    </row>
    <row r="1929" spans="1:7">
      <c r="C1929" s="4" t="s">
        <v>8</v>
      </c>
    </row>
    <row r="1931" spans="1:7" ht="264" customHeight="1">
      <c r="A1931" s="2">
        <v>644</v>
      </c>
      <c r="B1931" s="3" t="s">
        <v>887</v>
      </c>
      <c r="C1931">
        <f>IMAGE("https://raw.githubusercontent.com/stautonico/tcg-livingdex/main/images/644/1.png", 2)</f>
        <v>0</v>
      </c>
      <c r="D1931">
        <f>IMAGE("https://raw.githubusercontent.com/stautonico/tcg-livingdex/main/images/644/2.png", 2)</f>
        <v>0</v>
      </c>
      <c r="E1931">
        <f>IMAGE("https://raw.githubusercontent.com/stautonico/tcg-livingdex/main/images/644/3.png", 2)</f>
        <v>0</v>
      </c>
      <c r="F1931">
        <f>IMAGE("https://raw.githubusercontent.com/stautonico/tcg-livingdex/main/images/644/4.png", 2)</f>
        <v>0</v>
      </c>
      <c r="G1931" t="s">
        <v>9</v>
      </c>
    </row>
    <row r="1932" spans="1:7">
      <c r="C1932" s="4" t="s">
        <v>888</v>
      </c>
      <c r="D1932" s="4" t="s">
        <v>889</v>
      </c>
      <c r="E1932" s="4" t="s">
        <v>890</v>
      </c>
      <c r="F1932" s="4" t="s">
        <v>891</v>
      </c>
    </row>
    <row r="1934" spans="1:7" ht="264" customHeight="1">
      <c r="A1934" s="2">
        <v>645</v>
      </c>
      <c r="B1934" s="3" t="s">
        <v>892</v>
      </c>
      <c r="C1934">
        <f>IMAGE("https://raw.githubusercontent.com/stautonico/tcg-livingdex/main/images/645/1.png", 2)</f>
        <v>0</v>
      </c>
      <c r="G1934" t="s">
        <v>9</v>
      </c>
    </row>
    <row r="1935" spans="1:7">
      <c r="C1935" s="4" t="s">
        <v>8</v>
      </c>
    </row>
    <row r="1937" spans="1:7" ht="264" customHeight="1">
      <c r="A1937" s="2">
        <v>646</v>
      </c>
      <c r="B1937" s="3" t="s">
        <v>893</v>
      </c>
      <c r="C1937">
        <f>IMAGE("https://raw.githubusercontent.com/stautonico/tcg-livingdex/main/images/646/1.png", 2)</f>
        <v>0</v>
      </c>
      <c r="G1937" t="s">
        <v>9</v>
      </c>
    </row>
    <row r="1938" spans="1:7">
      <c r="C1938" s="4" t="s">
        <v>8</v>
      </c>
    </row>
    <row r="1940" spans="1:7" ht="264" customHeight="1">
      <c r="A1940" s="2">
        <v>647</v>
      </c>
      <c r="B1940" s="3" t="s">
        <v>894</v>
      </c>
      <c r="C1940">
        <f>IMAGE("https://raw.githubusercontent.com/stautonico/tcg-livingdex/main/images/647/1.png", 2)</f>
        <v>0</v>
      </c>
      <c r="G1940" t="s">
        <v>9</v>
      </c>
    </row>
    <row r="1941" spans="1:7">
      <c r="C1941" s="4" t="s">
        <v>895</v>
      </c>
    </row>
    <row r="1943" spans="1:7" ht="264" customHeight="1">
      <c r="A1943" s="2">
        <v>648</v>
      </c>
      <c r="B1943" s="3" t="s">
        <v>896</v>
      </c>
      <c r="C1943">
        <f>IMAGE("https://raw.githubusercontent.com/stautonico/tcg-livingdex/main/images/648/1.png", 2)</f>
        <v>0</v>
      </c>
      <c r="G1943" t="s">
        <v>9</v>
      </c>
    </row>
    <row r="1944" spans="1:7">
      <c r="C1944" s="4" t="s">
        <v>8</v>
      </c>
    </row>
    <row r="1946" spans="1:7" ht="264" customHeight="1">
      <c r="A1946" s="2">
        <v>649</v>
      </c>
      <c r="B1946" s="3" t="s">
        <v>897</v>
      </c>
      <c r="C1946">
        <f>IMAGE("https://raw.githubusercontent.com/stautonico/tcg-livingdex/main/images/649/1.png", 2)</f>
        <v>0</v>
      </c>
      <c r="G1946" t="s">
        <v>9</v>
      </c>
    </row>
    <row r="1947" spans="1:7">
      <c r="C1947" s="4" t="s">
        <v>8</v>
      </c>
    </row>
    <row r="1949" spans="1:7" ht="264" customHeight="1">
      <c r="A1949" s="2">
        <v>650</v>
      </c>
      <c r="B1949" s="3" t="s">
        <v>898</v>
      </c>
      <c r="C1949">
        <f>IMAGE("https://raw.githubusercontent.com/stautonico/tcg-livingdex/main/images/650/1.png", 2)</f>
        <v>0</v>
      </c>
      <c r="G1949" t="s">
        <v>9</v>
      </c>
    </row>
    <row r="1950" spans="1:7">
      <c r="C1950" s="4" t="s">
        <v>8</v>
      </c>
    </row>
    <row r="1952" spans="1:7" ht="264" customHeight="1">
      <c r="A1952" s="2">
        <v>651</v>
      </c>
      <c r="B1952" s="3" t="s">
        <v>899</v>
      </c>
      <c r="C1952">
        <f>IMAGE("https://raw.githubusercontent.com/stautonico/tcg-livingdex/main/images/651/1.png", 2)</f>
        <v>0</v>
      </c>
      <c r="G1952" t="s">
        <v>9</v>
      </c>
    </row>
    <row r="1953" spans="1:7">
      <c r="C1953" s="4" t="s">
        <v>8</v>
      </c>
    </row>
    <row r="1955" spans="1:7" ht="264" customHeight="1">
      <c r="A1955" s="2">
        <v>652</v>
      </c>
      <c r="B1955" s="3" t="s">
        <v>900</v>
      </c>
      <c r="C1955">
        <f>IMAGE("https://raw.githubusercontent.com/stautonico/tcg-livingdex/main/images/652/1.png", 2)</f>
        <v>0</v>
      </c>
      <c r="G1955" t="s">
        <v>9</v>
      </c>
    </row>
    <row r="1956" spans="1:7">
      <c r="C1956" s="4" t="s">
        <v>8</v>
      </c>
    </row>
    <row r="1958" spans="1:7" ht="264" customHeight="1">
      <c r="A1958" s="2">
        <v>653</v>
      </c>
      <c r="B1958" s="3" t="s">
        <v>901</v>
      </c>
      <c r="C1958">
        <f>IMAGE("https://raw.githubusercontent.com/stautonico/tcg-livingdex/main/images/653/1.png", 2)</f>
        <v>0</v>
      </c>
      <c r="G1958" t="s">
        <v>9</v>
      </c>
    </row>
    <row r="1959" spans="1:7">
      <c r="C1959" s="4" t="s">
        <v>8</v>
      </c>
    </row>
    <row r="1961" spans="1:7" ht="264" customHeight="1">
      <c r="A1961" s="2">
        <v>654</v>
      </c>
      <c r="B1961" s="3" t="s">
        <v>902</v>
      </c>
      <c r="C1961">
        <f>IMAGE("https://raw.githubusercontent.com/stautonico/tcg-livingdex/main/images/654/1.png", 2)</f>
        <v>0</v>
      </c>
      <c r="D1961">
        <f>IMAGE("https://raw.githubusercontent.com/stautonico/tcg-livingdex/main/images/654/2.png", 2)</f>
        <v>0</v>
      </c>
      <c r="G1961" t="s">
        <v>9</v>
      </c>
    </row>
    <row r="1962" spans="1:7">
      <c r="C1962" s="4" t="s">
        <v>903</v>
      </c>
      <c r="D1962" s="4" t="s">
        <v>904</v>
      </c>
    </row>
    <row r="1964" spans="1:7" ht="264" customHeight="1">
      <c r="A1964" s="2">
        <v>655</v>
      </c>
      <c r="B1964" s="3" t="s">
        <v>905</v>
      </c>
      <c r="C1964">
        <f>IMAGE("https://raw.githubusercontent.com/stautonico/tcg-livingdex/main/images/655/1.png", 2)</f>
        <v>0</v>
      </c>
      <c r="G1964" t="s">
        <v>9</v>
      </c>
    </row>
    <row r="1965" spans="1:7">
      <c r="C1965" s="4" t="s">
        <v>8</v>
      </c>
    </row>
    <row r="1967" spans="1:7" ht="264" customHeight="1">
      <c r="A1967" s="2">
        <v>656</v>
      </c>
      <c r="B1967" s="3" t="s">
        <v>906</v>
      </c>
      <c r="C1967">
        <f>IMAGE("https://raw.githubusercontent.com/stautonico/tcg-livingdex/main/images/656/1.png", 2)</f>
        <v>0</v>
      </c>
      <c r="G1967" t="s">
        <v>9</v>
      </c>
    </row>
    <row r="1968" spans="1:7">
      <c r="C1968" s="4" t="s">
        <v>8</v>
      </c>
    </row>
    <row r="1970" spans="1:7" ht="264" customHeight="1">
      <c r="A1970" s="2">
        <v>657</v>
      </c>
      <c r="B1970" s="3" t="s">
        <v>907</v>
      </c>
      <c r="C1970">
        <f>IMAGE("https://raw.githubusercontent.com/stautonico/tcg-livingdex/main/images/657/1.png", 2)</f>
        <v>0</v>
      </c>
      <c r="G1970" t="s">
        <v>9</v>
      </c>
    </row>
    <row r="1971" spans="1:7">
      <c r="C1971" s="4" t="s">
        <v>8</v>
      </c>
    </row>
    <row r="1973" spans="1:7" ht="264" customHeight="1">
      <c r="A1973" s="2">
        <v>658</v>
      </c>
      <c r="B1973" s="3" t="s">
        <v>908</v>
      </c>
      <c r="C1973">
        <f>IMAGE("https://raw.githubusercontent.com/stautonico/tcg-livingdex/main/images/658/1.png", 2)</f>
        <v>0</v>
      </c>
      <c r="D1973">
        <f>IMAGE("https://raw.githubusercontent.com/stautonico/tcg-livingdex/main/images/658/2.png", 2)</f>
        <v>0</v>
      </c>
      <c r="E1973">
        <f>IMAGE("https://raw.githubusercontent.com/stautonico/tcg-livingdex/main/images/658/3.png", 2)</f>
        <v>0</v>
      </c>
      <c r="F1973">
        <f>IMAGE("https://raw.githubusercontent.com/stautonico/tcg-livingdex/main/images/658/4.png", 2)</f>
        <v>0</v>
      </c>
      <c r="G1973" t="s">
        <v>9</v>
      </c>
    </row>
    <row r="1974" spans="1:7">
      <c r="C1974" s="4" t="s">
        <v>909</v>
      </c>
      <c r="D1974" s="4" t="s">
        <v>910</v>
      </c>
      <c r="E1974" s="4" t="s">
        <v>911</v>
      </c>
      <c r="F1974" s="4" t="s">
        <v>912</v>
      </c>
    </row>
    <row r="1976" spans="1:7" ht="264" customHeight="1">
      <c r="A1976" s="2">
        <v>659</v>
      </c>
      <c r="B1976" s="3" t="s">
        <v>913</v>
      </c>
      <c r="C1976">
        <f>IMAGE("https://raw.githubusercontent.com/stautonico/tcg-livingdex/main/images/659/1.png", 2)</f>
        <v>0</v>
      </c>
      <c r="D1976">
        <f>IMAGE("https://raw.githubusercontent.com/stautonico/tcg-livingdex/main/images/659/2.png", 2)</f>
        <v>0</v>
      </c>
      <c r="E1976">
        <f>IMAGE("https://raw.githubusercontent.com/stautonico/tcg-livingdex/main/images/659/3.png", 2)</f>
        <v>0</v>
      </c>
      <c r="F1976">
        <f>IMAGE("https://raw.githubusercontent.com/stautonico/tcg-livingdex/main/images/659/4.png", 2)</f>
        <v>0</v>
      </c>
      <c r="G1976" t="s">
        <v>9</v>
      </c>
    </row>
    <row r="1977" spans="1:7">
      <c r="C1977" s="4" t="s">
        <v>914</v>
      </c>
      <c r="D1977" s="4" t="s">
        <v>915</v>
      </c>
      <c r="E1977" s="4" t="s">
        <v>916</v>
      </c>
      <c r="F1977" s="4" t="s">
        <v>917</v>
      </c>
    </row>
    <row r="1979" spans="1:7" ht="264" customHeight="1">
      <c r="A1979" s="2">
        <v>660</v>
      </c>
      <c r="B1979" s="3" t="s">
        <v>918</v>
      </c>
      <c r="C1979">
        <f>IMAGE("https://raw.githubusercontent.com/stautonico/tcg-livingdex/main/images/660/1.png", 2)</f>
        <v>0</v>
      </c>
      <c r="G1979" t="s">
        <v>9</v>
      </c>
    </row>
    <row r="1980" spans="1:7">
      <c r="C1980" s="4" t="s">
        <v>8</v>
      </c>
    </row>
    <row r="1982" spans="1:7" ht="264" customHeight="1">
      <c r="A1982" s="2">
        <v>661</v>
      </c>
      <c r="B1982" s="3" t="s">
        <v>919</v>
      </c>
      <c r="C1982">
        <f>IMAGE("https://raw.githubusercontent.com/stautonico/tcg-livingdex/main/images/661/1.png", 2)</f>
        <v>0</v>
      </c>
      <c r="G1982" t="s">
        <v>9</v>
      </c>
    </row>
    <row r="1983" spans="1:7">
      <c r="C1983" s="4" t="s">
        <v>8</v>
      </c>
    </row>
    <row r="1985" spans="1:7" ht="264" customHeight="1">
      <c r="A1985" s="2">
        <v>662</v>
      </c>
      <c r="B1985" s="3" t="s">
        <v>920</v>
      </c>
      <c r="C1985">
        <f>IMAGE("https://raw.githubusercontent.com/stautonico/tcg-livingdex/main/images/662/1.png", 2)</f>
        <v>0</v>
      </c>
      <c r="G1985" t="s">
        <v>9</v>
      </c>
    </row>
    <row r="1986" spans="1:7">
      <c r="C1986" s="4" t="s">
        <v>8</v>
      </c>
    </row>
    <row r="1988" spans="1:7" ht="264" customHeight="1">
      <c r="A1988" s="2">
        <v>663</v>
      </c>
      <c r="B1988" s="3" t="s">
        <v>921</v>
      </c>
      <c r="C1988">
        <f>IMAGE("https://raw.githubusercontent.com/stautonico/tcg-livingdex/main/images/663/1.png", 2)</f>
        <v>0</v>
      </c>
      <c r="G1988" t="s">
        <v>9</v>
      </c>
    </row>
    <row r="1989" spans="1:7">
      <c r="C1989" s="4" t="s">
        <v>8</v>
      </c>
    </row>
    <row r="1991" spans="1:7" ht="264" customHeight="1">
      <c r="A1991" s="2">
        <v>664</v>
      </c>
      <c r="B1991" s="3" t="s">
        <v>922</v>
      </c>
      <c r="C1991">
        <f>IMAGE("https://raw.githubusercontent.com/stautonico/tcg-livingdex/main/images/664/1.png", 2)</f>
        <v>0</v>
      </c>
      <c r="G1991" t="s">
        <v>9</v>
      </c>
    </row>
    <row r="1992" spans="1:7">
      <c r="C1992" s="4" t="s">
        <v>8</v>
      </c>
    </row>
    <row r="1994" spans="1:7" ht="264" customHeight="1">
      <c r="A1994" s="2">
        <v>665</v>
      </c>
      <c r="B1994" s="3" t="s">
        <v>923</v>
      </c>
      <c r="C1994">
        <f>IMAGE("https://raw.githubusercontent.com/stautonico/tcg-livingdex/main/images/665/1.png", 2)</f>
        <v>0</v>
      </c>
      <c r="G1994" t="s">
        <v>9</v>
      </c>
    </row>
    <row r="1995" spans="1:7">
      <c r="C1995" s="4" t="s">
        <v>8</v>
      </c>
    </row>
    <row r="1997" spans="1:7" ht="264" customHeight="1">
      <c r="A1997" s="2">
        <v>666</v>
      </c>
      <c r="B1997" s="3" t="s">
        <v>924</v>
      </c>
      <c r="C1997">
        <f>IMAGE("https://raw.githubusercontent.com/stautonico/tcg-livingdex/main/images/666/1.png", 2)</f>
        <v>0</v>
      </c>
      <c r="G1997" t="s">
        <v>9</v>
      </c>
    </row>
    <row r="1998" spans="1:7">
      <c r="C1998" s="4" t="s">
        <v>8</v>
      </c>
    </row>
    <row r="2000" spans="1:7" ht="264" customHeight="1">
      <c r="A2000" s="2">
        <v>667</v>
      </c>
      <c r="B2000" s="3" t="s">
        <v>925</v>
      </c>
      <c r="C2000">
        <f>IMAGE("https://raw.githubusercontent.com/stautonico/tcg-livingdex/main/images/667/1.png", 2)</f>
        <v>0</v>
      </c>
      <c r="G2000" t="s">
        <v>9</v>
      </c>
    </row>
    <row r="2001" spans="1:7">
      <c r="C2001" s="4" t="s">
        <v>8</v>
      </c>
    </row>
    <row r="2003" spans="1:7" ht="264" customHeight="1">
      <c r="A2003" s="2">
        <v>668</v>
      </c>
      <c r="B2003" s="3" t="s">
        <v>926</v>
      </c>
      <c r="C2003">
        <f>IMAGE("https://raw.githubusercontent.com/stautonico/tcg-livingdex/main/images/668/1.png", 2)</f>
        <v>0</v>
      </c>
      <c r="G2003" t="s">
        <v>9</v>
      </c>
    </row>
    <row r="2004" spans="1:7">
      <c r="C2004" s="4" t="s">
        <v>8</v>
      </c>
    </row>
    <row r="2006" spans="1:7" ht="264" customHeight="1">
      <c r="A2006" s="2">
        <v>669</v>
      </c>
      <c r="B2006" s="3" t="s">
        <v>927</v>
      </c>
      <c r="C2006">
        <f>IMAGE("https://raw.githubusercontent.com/stautonico/tcg-livingdex/main/images/669/1.png", 2)</f>
        <v>0</v>
      </c>
      <c r="G2006" t="s">
        <v>9</v>
      </c>
    </row>
    <row r="2007" spans="1:7">
      <c r="C2007" s="4" t="s">
        <v>8</v>
      </c>
    </row>
    <row r="2009" spans="1:7" ht="264" customHeight="1">
      <c r="A2009" s="2">
        <v>670</v>
      </c>
      <c r="B2009" s="3" t="s">
        <v>928</v>
      </c>
      <c r="C2009">
        <f>IMAGE("https://raw.githubusercontent.com/stautonico/tcg-livingdex/main/images/670/1.png", 2)</f>
        <v>0</v>
      </c>
      <c r="G2009" t="s">
        <v>9</v>
      </c>
    </row>
    <row r="2010" spans="1:7">
      <c r="C2010" s="4" t="s">
        <v>8</v>
      </c>
    </row>
    <row r="2012" spans="1:7" ht="264" customHeight="1">
      <c r="A2012" s="2">
        <v>671</v>
      </c>
      <c r="B2012" s="3" t="s">
        <v>929</v>
      </c>
      <c r="C2012">
        <f>IMAGE("https://raw.githubusercontent.com/stautonico/tcg-livingdex/main/images/671/1.png", 2)</f>
        <v>0</v>
      </c>
      <c r="G2012" t="s">
        <v>9</v>
      </c>
    </row>
    <row r="2013" spans="1:7">
      <c r="C2013" s="4" t="s">
        <v>8</v>
      </c>
    </row>
    <row r="2015" spans="1:7" ht="264" customHeight="1">
      <c r="A2015" s="2">
        <v>672</v>
      </c>
      <c r="B2015" s="3" t="s">
        <v>930</v>
      </c>
      <c r="C2015">
        <f>IMAGE("https://raw.githubusercontent.com/stautonico/tcg-livingdex/main/images/672/1.png", 2)</f>
        <v>0</v>
      </c>
      <c r="G2015" t="s">
        <v>9</v>
      </c>
    </row>
    <row r="2016" spans="1:7">
      <c r="C2016" s="4" t="s">
        <v>8</v>
      </c>
    </row>
    <row r="2018" spans="1:7" ht="264" customHeight="1">
      <c r="A2018" s="2">
        <v>673</v>
      </c>
      <c r="B2018" s="3" t="s">
        <v>931</v>
      </c>
      <c r="C2018">
        <f>IMAGE("https://raw.githubusercontent.com/stautonico/tcg-livingdex/main/images/673/1.png", 2)</f>
        <v>0</v>
      </c>
      <c r="G2018" t="s">
        <v>9</v>
      </c>
    </row>
    <row r="2019" spans="1:7">
      <c r="C2019" s="4" t="s">
        <v>8</v>
      </c>
    </row>
    <row r="2021" spans="1:7" ht="264" customHeight="1">
      <c r="A2021" s="2">
        <v>674</v>
      </c>
      <c r="B2021" s="3" t="s">
        <v>932</v>
      </c>
      <c r="C2021">
        <f>IMAGE("https://raw.githubusercontent.com/stautonico/tcg-livingdex/main/images/674/1.png", 2)</f>
        <v>0</v>
      </c>
      <c r="G2021" t="s">
        <v>9</v>
      </c>
    </row>
    <row r="2022" spans="1:7">
      <c r="C2022" s="4" t="s">
        <v>8</v>
      </c>
    </row>
    <row r="2024" spans="1:7" ht="264" customHeight="1">
      <c r="A2024" s="2">
        <v>675</v>
      </c>
      <c r="B2024" s="3" t="s">
        <v>933</v>
      </c>
      <c r="C2024">
        <f>IMAGE("https://raw.githubusercontent.com/stautonico/tcg-livingdex/main/images/675/1.png", 2)</f>
        <v>0</v>
      </c>
      <c r="G2024" t="s">
        <v>9</v>
      </c>
    </row>
    <row r="2025" spans="1:7">
      <c r="C2025" s="4" t="s">
        <v>8</v>
      </c>
    </row>
    <row r="2027" spans="1:7" ht="264" customHeight="1">
      <c r="A2027" s="2">
        <v>676</v>
      </c>
      <c r="B2027" s="3" t="s">
        <v>934</v>
      </c>
      <c r="C2027">
        <f>IMAGE("https://raw.githubusercontent.com/stautonico/tcg-livingdex/main/images/676/1.png", 2)</f>
        <v>0</v>
      </c>
      <c r="G2027" t="s">
        <v>9</v>
      </c>
    </row>
    <row r="2028" spans="1:7">
      <c r="C2028" s="4" t="s">
        <v>8</v>
      </c>
    </row>
    <row r="2030" spans="1:7" ht="264" customHeight="1">
      <c r="A2030" s="2">
        <v>677</v>
      </c>
      <c r="B2030" s="3" t="s">
        <v>935</v>
      </c>
      <c r="C2030">
        <f>IMAGE("https://raw.githubusercontent.com/stautonico/tcg-livingdex/main/images/677/1.png", 2)</f>
        <v>0</v>
      </c>
      <c r="G2030" t="s">
        <v>9</v>
      </c>
    </row>
    <row r="2031" spans="1:7">
      <c r="C2031" s="4" t="s">
        <v>8</v>
      </c>
    </row>
    <row r="2033" spans="1:7" ht="264" customHeight="1">
      <c r="A2033" s="2">
        <v>678</v>
      </c>
      <c r="B2033" s="3" t="s">
        <v>936</v>
      </c>
      <c r="C2033">
        <f>IMAGE("https://raw.githubusercontent.com/stautonico/tcg-livingdex/main/images/678/1.png", 2)</f>
        <v>0</v>
      </c>
      <c r="G2033" t="s">
        <v>9</v>
      </c>
    </row>
    <row r="2034" spans="1:7">
      <c r="C2034" s="4" t="s">
        <v>8</v>
      </c>
    </row>
    <row r="2036" spans="1:7" ht="264" customHeight="1">
      <c r="A2036" s="2">
        <v>679</v>
      </c>
      <c r="B2036" s="3" t="s">
        <v>937</v>
      </c>
      <c r="C2036">
        <f>IMAGE("https://raw.githubusercontent.com/stautonico/tcg-livingdex/main/images/679/1.png", 2)</f>
        <v>0</v>
      </c>
      <c r="G2036" t="s">
        <v>9</v>
      </c>
    </row>
    <row r="2037" spans="1:7">
      <c r="C2037" s="4" t="s">
        <v>8</v>
      </c>
    </row>
    <row r="2039" spans="1:7" ht="264" customHeight="1">
      <c r="A2039" s="2">
        <v>680</v>
      </c>
      <c r="B2039" s="3" t="s">
        <v>938</v>
      </c>
      <c r="C2039">
        <f>IMAGE("https://raw.githubusercontent.com/stautonico/tcg-livingdex/main/images/680/1.png", 2)</f>
        <v>0</v>
      </c>
      <c r="G2039" t="s">
        <v>9</v>
      </c>
    </row>
    <row r="2040" spans="1:7">
      <c r="C2040" s="4" t="s">
        <v>8</v>
      </c>
    </row>
    <row r="2042" spans="1:7" ht="264" customHeight="1">
      <c r="A2042" s="2">
        <v>681</v>
      </c>
      <c r="B2042" s="3" t="s">
        <v>939</v>
      </c>
      <c r="C2042">
        <f>IMAGE("https://raw.githubusercontent.com/stautonico/tcg-livingdex/main/images/681/1.png", 2)</f>
        <v>0</v>
      </c>
      <c r="G2042" t="s">
        <v>9</v>
      </c>
    </row>
    <row r="2043" spans="1:7">
      <c r="C2043" s="4" t="s">
        <v>8</v>
      </c>
    </row>
    <row r="2045" spans="1:7" ht="264" customHeight="1">
      <c r="A2045" s="2">
        <v>682</v>
      </c>
      <c r="B2045" s="3" t="s">
        <v>940</v>
      </c>
      <c r="C2045">
        <f>IMAGE("https://raw.githubusercontent.com/stautonico/tcg-livingdex/main/images/682/1.png", 2)</f>
        <v>0</v>
      </c>
      <c r="G2045" t="s">
        <v>9</v>
      </c>
    </row>
    <row r="2046" spans="1:7">
      <c r="C2046" s="4" t="s">
        <v>8</v>
      </c>
    </row>
    <row r="2048" spans="1:7" ht="264" customHeight="1">
      <c r="A2048" s="2">
        <v>683</v>
      </c>
      <c r="B2048" s="3" t="s">
        <v>941</v>
      </c>
      <c r="C2048">
        <f>IMAGE("https://raw.githubusercontent.com/stautonico/tcg-livingdex/main/images/683/1.png", 2)</f>
        <v>0</v>
      </c>
      <c r="G2048" t="s">
        <v>9</v>
      </c>
    </row>
    <row r="2049" spans="1:7">
      <c r="C2049" s="4" t="s">
        <v>8</v>
      </c>
    </row>
    <row r="2051" spans="1:7" ht="264" customHeight="1">
      <c r="A2051" s="2">
        <v>684</v>
      </c>
      <c r="B2051" s="3" t="s">
        <v>942</v>
      </c>
      <c r="C2051">
        <f>IMAGE("https://raw.githubusercontent.com/stautonico/tcg-livingdex/main/images/684/1.png", 2)</f>
        <v>0</v>
      </c>
      <c r="G2051" t="s">
        <v>9</v>
      </c>
    </row>
    <row r="2052" spans="1:7">
      <c r="C2052" s="4" t="s">
        <v>8</v>
      </c>
    </row>
    <row r="2054" spans="1:7" ht="264" customHeight="1">
      <c r="A2054" s="2">
        <v>685</v>
      </c>
      <c r="B2054" s="3" t="s">
        <v>943</v>
      </c>
      <c r="C2054">
        <f>IMAGE("https://raw.githubusercontent.com/stautonico/tcg-livingdex/main/images/685/1.png", 2)</f>
        <v>0</v>
      </c>
      <c r="G2054" t="s">
        <v>9</v>
      </c>
    </row>
    <row r="2055" spans="1:7">
      <c r="C2055" s="4" t="s">
        <v>8</v>
      </c>
    </row>
    <row r="2057" spans="1:7" ht="264" customHeight="1">
      <c r="A2057" s="2">
        <v>686</v>
      </c>
      <c r="B2057" s="3" t="s">
        <v>944</v>
      </c>
      <c r="C2057">
        <f>IMAGE("https://raw.githubusercontent.com/stautonico/tcg-livingdex/main/images/686/1.png", 2)</f>
        <v>0</v>
      </c>
      <c r="G2057" t="s">
        <v>9</v>
      </c>
    </row>
    <row r="2058" spans="1:7">
      <c r="C2058" s="4" t="s">
        <v>8</v>
      </c>
    </row>
    <row r="2060" spans="1:7" ht="264" customHeight="1">
      <c r="A2060" s="2">
        <v>687</v>
      </c>
      <c r="B2060" s="3" t="s">
        <v>945</v>
      </c>
      <c r="C2060">
        <f>IMAGE("https://raw.githubusercontent.com/stautonico/tcg-livingdex/main/images/687/1.png", 2)</f>
        <v>0</v>
      </c>
      <c r="G2060" t="s">
        <v>9</v>
      </c>
    </row>
    <row r="2061" spans="1:7">
      <c r="C2061" s="4" t="s">
        <v>8</v>
      </c>
    </row>
    <row r="2063" spans="1:7" ht="264" customHeight="1">
      <c r="A2063" s="2">
        <v>688</v>
      </c>
      <c r="B2063" s="3" t="s">
        <v>946</v>
      </c>
      <c r="C2063">
        <f>IMAGE("https://raw.githubusercontent.com/stautonico/tcg-livingdex/main/images/688/1.png", 2)</f>
        <v>0</v>
      </c>
      <c r="G2063" t="s">
        <v>9</v>
      </c>
    </row>
    <row r="2064" spans="1:7">
      <c r="C2064" s="4" t="s">
        <v>8</v>
      </c>
    </row>
    <row r="2066" spans="1:7" ht="264" customHeight="1">
      <c r="A2066" s="2">
        <v>689</v>
      </c>
      <c r="B2066" s="3" t="s">
        <v>947</v>
      </c>
      <c r="C2066">
        <f>IMAGE("https://raw.githubusercontent.com/stautonico/tcg-livingdex/main/images/689/1.png", 2)</f>
        <v>0</v>
      </c>
      <c r="G2066" t="s">
        <v>9</v>
      </c>
    </row>
    <row r="2067" spans="1:7">
      <c r="C2067" s="4" t="s">
        <v>8</v>
      </c>
    </row>
    <row r="2069" spans="1:7" ht="264" customHeight="1">
      <c r="A2069" s="2">
        <v>690</v>
      </c>
      <c r="B2069" s="3" t="s">
        <v>948</v>
      </c>
      <c r="C2069">
        <f>IMAGE("https://raw.githubusercontent.com/stautonico/tcg-livingdex/main/images/690/1.png", 2)</f>
        <v>0</v>
      </c>
      <c r="G2069" t="s">
        <v>9</v>
      </c>
    </row>
    <row r="2070" spans="1:7">
      <c r="C2070" s="4" t="s">
        <v>8</v>
      </c>
    </row>
    <row r="2072" spans="1:7" ht="264" customHeight="1">
      <c r="A2072" s="2">
        <v>691</v>
      </c>
      <c r="B2072" s="3" t="s">
        <v>949</v>
      </c>
      <c r="C2072">
        <f>IMAGE("https://raw.githubusercontent.com/stautonico/tcg-livingdex/main/images/691/1.png", 2)</f>
        <v>0</v>
      </c>
      <c r="G2072" t="s">
        <v>9</v>
      </c>
    </row>
    <row r="2073" spans="1:7">
      <c r="C2073" s="4" t="s">
        <v>8</v>
      </c>
    </row>
    <row r="2075" spans="1:7" ht="264" customHeight="1">
      <c r="A2075" s="2">
        <v>692</v>
      </c>
      <c r="B2075" s="3" t="s">
        <v>950</v>
      </c>
      <c r="C2075">
        <f>IMAGE("https://raw.githubusercontent.com/stautonico/tcg-livingdex/main/images/692/1.png", 2)</f>
        <v>0</v>
      </c>
      <c r="G2075" t="s">
        <v>9</v>
      </c>
    </row>
    <row r="2076" spans="1:7">
      <c r="C2076" s="4" t="s">
        <v>8</v>
      </c>
    </row>
    <row r="2078" spans="1:7" ht="264" customHeight="1">
      <c r="A2078" s="2">
        <v>693</v>
      </c>
      <c r="B2078" s="3" t="s">
        <v>951</v>
      </c>
      <c r="C2078">
        <f>IMAGE("https://raw.githubusercontent.com/stautonico/tcg-livingdex/main/images/693/1.png", 2)</f>
        <v>0</v>
      </c>
      <c r="G2078" t="s">
        <v>9</v>
      </c>
    </row>
    <row r="2079" spans="1:7">
      <c r="C2079" s="4" t="s">
        <v>8</v>
      </c>
    </row>
    <row r="2081" spans="1:7" ht="264" customHeight="1">
      <c r="A2081" s="2">
        <v>694</v>
      </c>
      <c r="B2081" s="3" t="s">
        <v>952</v>
      </c>
      <c r="C2081">
        <f>IMAGE("https://raw.githubusercontent.com/stautonico/tcg-livingdex/main/images/694/1.png", 2)</f>
        <v>0</v>
      </c>
      <c r="G2081" t="s">
        <v>9</v>
      </c>
    </row>
    <row r="2082" spans="1:7">
      <c r="C2082" s="4" t="s">
        <v>8</v>
      </c>
    </row>
    <row r="2084" spans="1:7" ht="264" customHeight="1">
      <c r="A2084" s="2">
        <v>695</v>
      </c>
      <c r="B2084" s="3" t="s">
        <v>953</v>
      </c>
      <c r="C2084">
        <f>IMAGE("https://raw.githubusercontent.com/stautonico/tcg-livingdex/main/images/695/1.png", 2)</f>
        <v>0</v>
      </c>
      <c r="G2084" t="s">
        <v>9</v>
      </c>
    </row>
    <row r="2085" spans="1:7">
      <c r="C2085" s="4" t="s">
        <v>8</v>
      </c>
    </row>
    <row r="2087" spans="1:7" ht="264" customHeight="1">
      <c r="A2087" s="2">
        <v>696</v>
      </c>
      <c r="B2087" s="3" t="s">
        <v>954</v>
      </c>
      <c r="C2087">
        <f>IMAGE("https://raw.githubusercontent.com/stautonico/tcg-livingdex/main/images/696/1.png", 2)</f>
        <v>0</v>
      </c>
      <c r="G2087" t="s">
        <v>9</v>
      </c>
    </row>
    <row r="2088" spans="1:7">
      <c r="C2088" s="4" t="s">
        <v>8</v>
      </c>
    </row>
    <row r="2090" spans="1:7" ht="264" customHeight="1">
      <c r="A2090" s="2">
        <v>697</v>
      </c>
      <c r="B2090" s="3" t="s">
        <v>955</v>
      </c>
      <c r="C2090">
        <f>IMAGE("https://raw.githubusercontent.com/stautonico/tcg-livingdex/main/images/697/1.png", 2)</f>
        <v>0</v>
      </c>
      <c r="G2090" t="s">
        <v>9</v>
      </c>
    </row>
    <row r="2091" spans="1:7">
      <c r="C2091" s="4" t="s">
        <v>8</v>
      </c>
    </row>
    <row r="2093" spans="1:7" ht="264" customHeight="1">
      <c r="A2093" s="2">
        <v>698</v>
      </c>
      <c r="B2093" s="3" t="s">
        <v>956</v>
      </c>
      <c r="C2093">
        <f>IMAGE("https://raw.githubusercontent.com/stautonico/tcg-livingdex/main/images/698/1.png", 2)</f>
        <v>0</v>
      </c>
      <c r="G2093" t="s">
        <v>9</v>
      </c>
    </row>
    <row r="2094" spans="1:7">
      <c r="C2094" s="4" t="s">
        <v>8</v>
      </c>
    </row>
    <row r="2096" spans="1:7" ht="264" customHeight="1">
      <c r="A2096" s="2">
        <v>699</v>
      </c>
      <c r="B2096" s="3" t="s">
        <v>957</v>
      </c>
      <c r="C2096">
        <f>IMAGE("https://raw.githubusercontent.com/stautonico/tcg-livingdex/main/images/699/1.png", 2)</f>
        <v>0</v>
      </c>
      <c r="G2096" t="s">
        <v>9</v>
      </c>
    </row>
    <row r="2097" spans="1:7">
      <c r="C2097" s="4" t="s">
        <v>8</v>
      </c>
    </row>
    <row r="2099" spans="1:7" ht="264" customHeight="1">
      <c r="A2099" s="2">
        <v>700</v>
      </c>
      <c r="B2099" s="3" t="s">
        <v>958</v>
      </c>
      <c r="C2099">
        <f>IMAGE("https://raw.githubusercontent.com/stautonico/tcg-livingdex/main/images/700/1.png", 2)</f>
        <v>0</v>
      </c>
      <c r="G2099" t="s">
        <v>9</v>
      </c>
    </row>
    <row r="2100" spans="1:7">
      <c r="C2100" s="4" t="s">
        <v>8</v>
      </c>
    </row>
    <row r="2102" spans="1:7" ht="264" customHeight="1">
      <c r="A2102" s="2">
        <v>701</v>
      </c>
      <c r="B2102" s="3" t="s">
        <v>959</v>
      </c>
      <c r="C2102">
        <f>IMAGE("https://raw.githubusercontent.com/stautonico/tcg-livingdex/main/images/701/1.png", 2)</f>
        <v>0</v>
      </c>
      <c r="G2102" t="s">
        <v>9</v>
      </c>
    </row>
    <row r="2103" spans="1:7">
      <c r="C2103" s="4" t="s">
        <v>8</v>
      </c>
    </row>
    <row r="2105" spans="1:7" ht="264" customHeight="1">
      <c r="A2105" s="2">
        <v>702</v>
      </c>
      <c r="B2105" s="3" t="s">
        <v>960</v>
      </c>
      <c r="C2105">
        <f>IMAGE("https://raw.githubusercontent.com/stautonico/tcg-livingdex/main/images/702/1.png", 2)</f>
        <v>0</v>
      </c>
      <c r="G2105" t="s">
        <v>9</v>
      </c>
    </row>
    <row r="2106" spans="1:7">
      <c r="C2106" s="4" t="s">
        <v>8</v>
      </c>
    </row>
    <row r="2108" spans="1:7" ht="264" customHeight="1">
      <c r="A2108" s="2">
        <v>703</v>
      </c>
      <c r="B2108" s="3" t="s">
        <v>961</v>
      </c>
      <c r="C2108">
        <f>IMAGE("https://raw.githubusercontent.com/stautonico/tcg-livingdex/main/images/703/1.png", 2)</f>
        <v>0</v>
      </c>
      <c r="G2108" t="s">
        <v>9</v>
      </c>
    </row>
    <row r="2109" spans="1:7">
      <c r="C2109" s="4" t="s">
        <v>8</v>
      </c>
    </row>
    <row r="2111" spans="1:7" ht="264" customHeight="1">
      <c r="A2111" s="2">
        <v>704</v>
      </c>
      <c r="B2111" s="3" t="s">
        <v>962</v>
      </c>
      <c r="C2111">
        <f>IMAGE("https://raw.githubusercontent.com/stautonico/tcg-livingdex/main/images/704/1.png", 2)</f>
        <v>0</v>
      </c>
      <c r="G2111" t="s">
        <v>9</v>
      </c>
    </row>
    <row r="2112" spans="1:7">
      <c r="C2112" s="4" t="s">
        <v>8</v>
      </c>
    </row>
    <row r="2114" spans="1:7" ht="264" customHeight="1">
      <c r="A2114" s="2">
        <v>705</v>
      </c>
      <c r="B2114" s="3" t="s">
        <v>963</v>
      </c>
      <c r="C2114">
        <f>IMAGE("https://raw.githubusercontent.com/stautonico/tcg-livingdex/main/images/705/1.png", 2)</f>
        <v>0</v>
      </c>
      <c r="D2114">
        <f>IMAGE("https://raw.githubusercontent.com/stautonico/tcg-livingdex/main/images/705/2.png", 2)</f>
        <v>0</v>
      </c>
      <c r="E2114">
        <f>IMAGE("https://raw.githubusercontent.com/stautonico/tcg-livingdex/main/images/705/3.png", 2)</f>
        <v>0</v>
      </c>
      <c r="F2114">
        <f>IMAGE("https://raw.githubusercontent.com/stautonico/tcg-livingdex/main/images/705/4.png", 2)</f>
        <v>0</v>
      </c>
      <c r="G2114" t="s">
        <v>9</v>
      </c>
    </row>
    <row r="2115" spans="1:7">
      <c r="C2115" s="4" t="s">
        <v>964</v>
      </c>
      <c r="D2115" s="4" t="s">
        <v>965</v>
      </c>
      <c r="E2115" s="4" t="s">
        <v>966</v>
      </c>
      <c r="F2115" s="4" t="s">
        <v>967</v>
      </c>
    </row>
    <row r="2117" spans="1:7" ht="264" customHeight="1">
      <c r="A2117" s="2">
        <v>706</v>
      </c>
      <c r="B2117" s="3" t="s">
        <v>968</v>
      </c>
      <c r="C2117">
        <f>IMAGE("https://raw.githubusercontent.com/stautonico/tcg-livingdex/main/images/706/1.png", 2)</f>
        <v>0</v>
      </c>
      <c r="G2117" t="s">
        <v>9</v>
      </c>
    </row>
    <row r="2118" spans="1:7">
      <c r="C2118" s="4" t="s">
        <v>969</v>
      </c>
    </row>
    <row r="2120" spans="1:7" ht="264" customHeight="1">
      <c r="A2120" s="2">
        <v>707</v>
      </c>
      <c r="B2120" s="3" t="s">
        <v>970</v>
      </c>
      <c r="C2120">
        <f>IMAGE("https://raw.githubusercontent.com/stautonico/tcg-livingdex/main/images/707/1.png", 2)</f>
        <v>0</v>
      </c>
      <c r="G2120" t="s">
        <v>9</v>
      </c>
    </row>
    <row r="2121" spans="1:7">
      <c r="C2121" s="4" t="s">
        <v>8</v>
      </c>
    </row>
    <row r="2123" spans="1:7" ht="264" customHeight="1">
      <c r="A2123" s="2">
        <v>708</v>
      </c>
      <c r="B2123" s="3" t="s">
        <v>971</v>
      </c>
      <c r="C2123">
        <f>IMAGE("https://raw.githubusercontent.com/stautonico/tcg-livingdex/main/images/708/1.png", 2)</f>
        <v>0</v>
      </c>
      <c r="G2123" t="s">
        <v>9</v>
      </c>
    </row>
    <row r="2124" spans="1:7">
      <c r="C2124" s="4" t="s">
        <v>8</v>
      </c>
    </row>
    <row r="2126" spans="1:7" ht="264" customHeight="1">
      <c r="A2126" s="2">
        <v>709</v>
      </c>
      <c r="B2126" s="3" t="s">
        <v>972</v>
      </c>
      <c r="C2126">
        <f>IMAGE("https://raw.githubusercontent.com/stautonico/tcg-livingdex/main/images/709/1.png", 2)</f>
        <v>0</v>
      </c>
      <c r="G2126" t="s">
        <v>9</v>
      </c>
    </row>
    <row r="2127" spans="1:7">
      <c r="C2127" s="4" t="s">
        <v>8</v>
      </c>
    </row>
    <row r="2129" spans="1:7" ht="264" customHeight="1">
      <c r="A2129" s="2">
        <v>710</v>
      </c>
      <c r="B2129" s="3" t="s">
        <v>973</v>
      </c>
      <c r="C2129">
        <f>IMAGE("https://raw.githubusercontent.com/stautonico/tcg-livingdex/main/images/710/1.png", 2)</f>
        <v>0</v>
      </c>
      <c r="G2129" t="s">
        <v>9</v>
      </c>
    </row>
    <row r="2130" spans="1:7">
      <c r="C2130" s="4" t="s">
        <v>8</v>
      </c>
    </row>
    <row r="2132" spans="1:7" ht="264" customHeight="1">
      <c r="A2132" s="2">
        <v>711</v>
      </c>
      <c r="B2132" s="3" t="s">
        <v>974</v>
      </c>
      <c r="C2132">
        <f>IMAGE("https://raw.githubusercontent.com/stautonico/tcg-livingdex/main/images/711/1.png", 2)</f>
        <v>0</v>
      </c>
      <c r="G2132" t="s">
        <v>9</v>
      </c>
    </row>
    <row r="2133" spans="1:7">
      <c r="C2133" s="4" t="s">
        <v>8</v>
      </c>
    </row>
    <row r="2135" spans="1:7" ht="264" customHeight="1">
      <c r="A2135" s="2">
        <v>712</v>
      </c>
      <c r="B2135" s="3" t="s">
        <v>975</v>
      </c>
      <c r="C2135">
        <f>IMAGE("https://raw.githubusercontent.com/stautonico/tcg-livingdex/main/images/712/1.png", 2)</f>
        <v>0</v>
      </c>
      <c r="G2135" t="s">
        <v>9</v>
      </c>
    </row>
    <row r="2136" spans="1:7">
      <c r="C2136" s="4" t="s">
        <v>8</v>
      </c>
    </row>
    <row r="2138" spans="1:7" ht="264" customHeight="1">
      <c r="A2138" s="2">
        <v>713</v>
      </c>
      <c r="B2138" s="3" t="s">
        <v>976</v>
      </c>
      <c r="C2138">
        <f>IMAGE("https://raw.githubusercontent.com/stautonico/tcg-livingdex/main/images/713/1.png", 2)</f>
        <v>0</v>
      </c>
      <c r="D2138">
        <f>IMAGE("https://raw.githubusercontent.com/stautonico/tcg-livingdex/main/images/713/2.png", 2)</f>
        <v>0</v>
      </c>
      <c r="E2138">
        <f>IMAGE("https://raw.githubusercontent.com/stautonico/tcg-livingdex/main/images/713/3.png", 2)</f>
        <v>0</v>
      </c>
      <c r="F2138">
        <f>IMAGE("https://raw.githubusercontent.com/stautonico/tcg-livingdex/main/images/713/4.png", 2)</f>
        <v>0</v>
      </c>
      <c r="G2138" t="s">
        <v>9</v>
      </c>
    </row>
    <row r="2139" spans="1:7">
      <c r="C2139" s="4" t="s">
        <v>977</v>
      </c>
      <c r="D2139" s="4" t="s">
        <v>978</v>
      </c>
      <c r="E2139" s="4" t="s">
        <v>979</v>
      </c>
      <c r="F2139" s="4" t="s">
        <v>980</v>
      </c>
    </row>
    <row r="2141" spans="1:7" ht="264" customHeight="1">
      <c r="A2141" s="2">
        <v>714</v>
      </c>
      <c r="B2141" s="3" t="s">
        <v>981</v>
      </c>
      <c r="C2141">
        <f>IMAGE("https://raw.githubusercontent.com/stautonico/tcg-livingdex/main/images/714/1.png", 2)</f>
        <v>0</v>
      </c>
      <c r="G2141" t="s">
        <v>9</v>
      </c>
    </row>
    <row r="2142" spans="1:7">
      <c r="C2142" s="4" t="s">
        <v>8</v>
      </c>
    </row>
    <row r="2144" spans="1:7" ht="264" customHeight="1">
      <c r="A2144" s="2">
        <v>715</v>
      </c>
      <c r="B2144" s="3" t="s">
        <v>982</v>
      </c>
      <c r="C2144">
        <f>IMAGE("https://raw.githubusercontent.com/stautonico/tcg-livingdex/main/images/715/1.png", 2)</f>
        <v>0</v>
      </c>
      <c r="G2144" t="s">
        <v>9</v>
      </c>
    </row>
    <row r="2145" spans="1:7">
      <c r="C2145" s="4" t="s">
        <v>8</v>
      </c>
    </row>
    <row r="2147" spans="1:7" ht="264" customHeight="1">
      <c r="A2147" s="2">
        <v>716</v>
      </c>
      <c r="B2147" s="3" t="s">
        <v>983</v>
      </c>
      <c r="C2147">
        <f>IMAGE("https://raw.githubusercontent.com/stautonico/tcg-livingdex/main/images/716/1.png", 2)</f>
        <v>0</v>
      </c>
      <c r="G2147" t="s">
        <v>9</v>
      </c>
    </row>
    <row r="2148" spans="1:7">
      <c r="C2148" s="4" t="s">
        <v>8</v>
      </c>
    </row>
    <row r="2150" spans="1:7" ht="264" customHeight="1">
      <c r="A2150" s="2">
        <v>717</v>
      </c>
      <c r="B2150" s="3" t="s">
        <v>984</v>
      </c>
      <c r="C2150">
        <f>IMAGE("https://raw.githubusercontent.com/stautonico/tcg-livingdex/main/images/717/1.png", 2)</f>
        <v>0</v>
      </c>
      <c r="D2150">
        <f>IMAGE("https://raw.githubusercontent.com/stautonico/tcg-livingdex/main/images/717/2.png", 2)</f>
        <v>0</v>
      </c>
      <c r="E2150">
        <f>IMAGE("https://raw.githubusercontent.com/stautonico/tcg-livingdex/main/images/717/3.png", 2)</f>
        <v>0</v>
      </c>
      <c r="F2150">
        <f>IMAGE("https://raw.githubusercontent.com/stautonico/tcg-livingdex/main/images/717/4.png", 2)</f>
        <v>0</v>
      </c>
      <c r="G2150" t="s">
        <v>9</v>
      </c>
    </row>
    <row r="2151" spans="1:7">
      <c r="C2151" s="4" t="s">
        <v>985</v>
      </c>
      <c r="D2151" s="4" t="s">
        <v>986</v>
      </c>
      <c r="E2151" s="4" t="s">
        <v>987</v>
      </c>
      <c r="F2151" s="4" t="s">
        <v>988</v>
      </c>
    </row>
    <row r="2153" spans="1:7" ht="264" customHeight="1">
      <c r="A2153" s="2">
        <v>718</v>
      </c>
      <c r="B2153" s="3" t="s">
        <v>989</v>
      </c>
      <c r="C2153">
        <f>IMAGE("https://raw.githubusercontent.com/stautonico/tcg-livingdex/main/images/718/1.png", 2)</f>
        <v>0</v>
      </c>
      <c r="G2153" t="s">
        <v>9</v>
      </c>
    </row>
    <row r="2154" spans="1:7">
      <c r="C2154" s="4" t="s">
        <v>8</v>
      </c>
    </row>
    <row r="2156" spans="1:7" ht="264" customHeight="1">
      <c r="A2156" s="2">
        <v>719</v>
      </c>
      <c r="B2156" s="3" t="s">
        <v>990</v>
      </c>
      <c r="C2156">
        <f>IMAGE("https://raw.githubusercontent.com/stautonico/tcg-livingdex/main/images/719/1.png", 2)</f>
        <v>0</v>
      </c>
      <c r="G2156" t="s">
        <v>9</v>
      </c>
    </row>
    <row r="2157" spans="1:7">
      <c r="C2157" s="4" t="s">
        <v>8</v>
      </c>
    </row>
    <row r="2159" spans="1:7" ht="264" customHeight="1">
      <c r="A2159" s="2">
        <v>720</v>
      </c>
      <c r="B2159" s="3" t="s">
        <v>991</v>
      </c>
      <c r="C2159">
        <f>IMAGE("https://raw.githubusercontent.com/stautonico/tcg-livingdex/main/images/720/1.png", 2)</f>
        <v>0</v>
      </c>
      <c r="G2159" t="s">
        <v>9</v>
      </c>
    </row>
    <row r="2160" spans="1:7">
      <c r="C2160" s="4" t="s">
        <v>8</v>
      </c>
    </row>
    <row r="2162" spans="1:7" ht="264" customHeight="1">
      <c r="A2162" s="2">
        <v>721</v>
      </c>
      <c r="B2162" s="3" t="s">
        <v>992</v>
      </c>
      <c r="C2162">
        <f>IMAGE("https://raw.githubusercontent.com/stautonico/tcg-livingdex/main/images/721/1.png", 2)</f>
        <v>0</v>
      </c>
      <c r="G2162" t="s">
        <v>9</v>
      </c>
    </row>
    <row r="2163" spans="1:7">
      <c r="C2163" s="4" t="s">
        <v>8</v>
      </c>
    </row>
    <row r="2165" spans="1:7" ht="264" customHeight="1">
      <c r="A2165" s="2">
        <v>722</v>
      </c>
      <c r="B2165" s="3" t="s">
        <v>993</v>
      </c>
      <c r="C2165">
        <f>IMAGE("https://raw.githubusercontent.com/stautonico/tcg-livingdex/main/images/722/1.png", 2)</f>
        <v>0</v>
      </c>
      <c r="G2165" t="s">
        <v>9</v>
      </c>
    </row>
    <row r="2166" spans="1:7">
      <c r="C2166" s="4" t="s">
        <v>8</v>
      </c>
    </row>
    <row r="2168" spans="1:7" ht="264" customHeight="1">
      <c r="A2168" s="2">
        <v>723</v>
      </c>
      <c r="B2168" s="3" t="s">
        <v>994</v>
      </c>
      <c r="C2168">
        <f>IMAGE("https://raw.githubusercontent.com/stautonico/tcg-livingdex/main/images/723/1.png", 2)</f>
        <v>0</v>
      </c>
      <c r="G2168" t="s">
        <v>9</v>
      </c>
    </row>
    <row r="2169" spans="1:7">
      <c r="C2169" s="4" t="s">
        <v>8</v>
      </c>
    </row>
    <row r="2171" spans="1:7" ht="264" customHeight="1">
      <c r="A2171" s="2">
        <v>724</v>
      </c>
      <c r="B2171" s="3" t="s">
        <v>995</v>
      </c>
      <c r="C2171">
        <f>IMAGE("https://raw.githubusercontent.com/stautonico/tcg-livingdex/main/images/724/1.png", 2)</f>
        <v>0</v>
      </c>
      <c r="G2171" t="s">
        <v>9</v>
      </c>
    </row>
    <row r="2172" spans="1:7">
      <c r="C2172" s="4" t="s">
        <v>8</v>
      </c>
    </row>
    <row r="2174" spans="1:7" ht="264" customHeight="1">
      <c r="A2174" s="2">
        <v>725</v>
      </c>
      <c r="B2174" s="3" t="s">
        <v>996</v>
      </c>
      <c r="C2174">
        <f>IMAGE("https://raw.githubusercontent.com/stautonico/tcg-livingdex/main/images/725/1.png", 2)</f>
        <v>0</v>
      </c>
      <c r="G2174" t="s">
        <v>9</v>
      </c>
    </row>
    <row r="2175" spans="1:7">
      <c r="C2175" s="4" t="s">
        <v>8</v>
      </c>
    </row>
    <row r="2177" spans="1:7" ht="264" customHeight="1">
      <c r="A2177" s="2">
        <v>726</v>
      </c>
      <c r="B2177" s="3" t="s">
        <v>997</v>
      </c>
      <c r="C2177">
        <f>IMAGE("https://raw.githubusercontent.com/stautonico/tcg-livingdex/main/images/726/1.png", 2)</f>
        <v>0</v>
      </c>
      <c r="G2177" t="s">
        <v>9</v>
      </c>
    </row>
    <row r="2178" spans="1:7">
      <c r="C2178" s="4" t="s">
        <v>8</v>
      </c>
    </row>
    <row r="2180" spans="1:7" ht="264" customHeight="1">
      <c r="A2180" s="2">
        <v>727</v>
      </c>
      <c r="B2180" s="3" t="s">
        <v>998</v>
      </c>
      <c r="C2180">
        <f>IMAGE("https://raw.githubusercontent.com/stautonico/tcg-livingdex/main/images/727/1.png", 2)</f>
        <v>0</v>
      </c>
      <c r="G2180" t="s">
        <v>9</v>
      </c>
    </row>
    <row r="2181" spans="1:7">
      <c r="C2181" s="4" t="s">
        <v>8</v>
      </c>
    </row>
    <row r="2183" spans="1:7" ht="264" customHeight="1">
      <c r="A2183" s="2">
        <v>728</v>
      </c>
      <c r="B2183" s="3" t="s">
        <v>999</v>
      </c>
      <c r="C2183">
        <f>IMAGE("https://raw.githubusercontent.com/stautonico/tcg-livingdex/main/images/728/1.png", 2)</f>
        <v>0</v>
      </c>
      <c r="G2183" t="s">
        <v>9</v>
      </c>
    </row>
    <row r="2184" spans="1:7">
      <c r="C2184" s="4" t="s">
        <v>8</v>
      </c>
    </row>
    <row r="2186" spans="1:7" ht="264" customHeight="1">
      <c r="A2186" s="2">
        <v>729</v>
      </c>
      <c r="B2186" s="3" t="s">
        <v>1000</v>
      </c>
      <c r="C2186">
        <f>IMAGE("https://raw.githubusercontent.com/stautonico/tcg-livingdex/main/images/729/1.png", 2)</f>
        <v>0</v>
      </c>
      <c r="G2186" t="s">
        <v>9</v>
      </c>
    </row>
    <row r="2187" spans="1:7">
      <c r="C2187" s="4" t="s">
        <v>8</v>
      </c>
    </row>
    <row r="2189" spans="1:7" ht="264" customHeight="1">
      <c r="A2189" s="2">
        <v>730</v>
      </c>
      <c r="B2189" s="3" t="s">
        <v>1001</v>
      </c>
      <c r="C2189">
        <f>IMAGE("https://raw.githubusercontent.com/stautonico/tcg-livingdex/main/images/730/1.png", 2)</f>
        <v>0</v>
      </c>
      <c r="G2189" t="s">
        <v>9</v>
      </c>
    </row>
    <row r="2190" spans="1:7">
      <c r="C2190" s="4" t="s">
        <v>8</v>
      </c>
    </row>
    <row r="2192" spans="1:7" ht="264" customHeight="1">
      <c r="A2192" s="2">
        <v>731</v>
      </c>
      <c r="B2192" s="3" t="s">
        <v>1002</v>
      </c>
      <c r="C2192">
        <f>IMAGE("https://raw.githubusercontent.com/stautonico/tcg-livingdex/main/images/731/1.png", 2)</f>
        <v>0</v>
      </c>
      <c r="G2192" t="s">
        <v>9</v>
      </c>
    </row>
    <row r="2193" spans="1:7">
      <c r="C2193" s="4" t="s">
        <v>8</v>
      </c>
    </row>
    <row r="2195" spans="1:7" ht="264" customHeight="1">
      <c r="A2195" s="2">
        <v>732</v>
      </c>
      <c r="B2195" s="3" t="s">
        <v>1003</v>
      </c>
      <c r="C2195">
        <f>IMAGE("https://raw.githubusercontent.com/stautonico/tcg-livingdex/main/images/732/1.png", 2)</f>
        <v>0</v>
      </c>
      <c r="G2195" t="s">
        <v>9</v>
      </c>
    </row>
    <row r="2196" spans="1:7">
      <c r="C2196" s="4" t="s">
        <v>8</v>
      </c>
    </row>
    <row r="2198" spans="1:7" ht="264" customHeight="1">
      <c r="A2198" s="2">
        <v>733</v>
      </c>
      <c r="B2198" s="3" t="s">
        <v>1004</v>
      </c>
      <c r="C2198">
        <f>IMAGE("https://raw.githubusercontent.com/stautonico/tcg-livingdex/main/images/733/1.png", 2)</f>
        <v>0</v>
      </c>
      <c r="D2198">
        <f>IMAGE("https://raw.githubusercontent.com/stautonico/tcg-livingdex/main/images/733/2.png", 2)</f>
        <v>0</v>
      </c>
      <c r="E2198">
        <f>IMAGE("https://raw.githubusercontent.com/stautonico/tcg-livingdex/main/images/733/3.png", 2)</f>
        <v>0</v>
      </c>
      <c r="G2198" t="s">
        <v>9</v>
      </c>
    </row>
    <row r="2199" spans="1:7">
      <c r="C2199" s="4" t="s">
        <v>1005</v>
      </c>
      <c r="D2199" s="4" t="s">
        <v>1006</v>
      </c>
      <c r="E2199" s="4" t="s">
        <v>1007</v>
      </c>
    </row>
    <row r="2201" spans="1:7" ht="264" customHeight="1">
      <c r="A2201" s="2">
        <v>734</v>
      </c>
      <c r="B2201" s="3" t="s">
        <v>1008</v>
      </c>
      <c r="C2201">
        <f>IMAGE("https://raw.githubusercontent.com/stautonico/tcg-livingdex/main/images/734/1.png", 2)</f>
        <v>0</v>
      </c>
      <c r="G2201" t="s">
        <v>9</v>
      </c>
    </row>
    <row r="2202" spans="1:7">
      <c r="C2202" s="4" t="s">
        <v>8</v>
      </c>
    </row>
    <row r="2204" spans="1:7" ht="264" customHeight="1">
      <c r="A2204" s="2">
        <v>735</v>
      </c>
      <c r="B2204" s="3" t="s">
        <v>1009</v>
      </c>
      <c r="C2204">
        <f>IMAGE("https://raw.githubusercontent.com/stautonico/tcg-livingdex/main/images/735/1.png", 2)</f>
        <v>0</v>
      </c>
      <c r="G2204" t="s">
        <v>9</v>
      </c>
    </row>
    <row r="2205" spans="1:7">
      <c r="C2205" s="4" t="s">
        <v>8</v>
      </c>
    </row>
    <row r="2207" spans="1:7" ht="264" customHeight="1">
      <c r="A2207" s="2">
        <v>736</v>
      </c>
      <c r="B2207" s="3" t="s">
        <v>1010</v>
      </c>
      <c r="C2207">
        <f>IMAGE("https://raw.githubusercontent.com/stautonico/tcg-livingdex/main/images/736/1.png", 2)</f>
        <v>0</v>
      </c>
      <c r="G2207" t="s">
        <v>9</v>
      </c>
    </row>
    <row r="2208" spans="1:7">
      <c r="C2208" s="4" t="s">
        <v>8</v>
      </c>
    </row>
    <row r="2210" spans="1:7" ht="264" customHeight="1">
      <c r="A2210" s="2">
        <v>737</v>
      </c>
      <c r="B2210" s="3" t="s">
        <v>1011</v>
      </c>
      <c r="C2210">
        <f>IMAGE("https://raw.githubusercontent.com/stautonico/tcg-livingdex/main/images/737/1.png", 2)</f>
        <v>0</v>
      </c>
      <c r="D2210">
        <f>IMAGE("https://raw.githubusercontent.com/stautonico/tcg-livingdex/main/images/737/2.png", 2)</f>
        <v>0</v>
      </c>
      <c r="G2210" t="s">
        <v>9</v>
      </c>
    </row>
    <row r="2211" spans="1:7">
      <c r="C2211" s="4" t="s">
        <v>1012</v>
      </c>
      <c r="D2211" s="4" t="s">
        <v>1013</v>
      </c>
    </row>
    <row r="2213" spans="1:7" ht="264" customHeight="1">
      <c r="A2213" s="2">
        <v>738</v>
      </c>
      <c r="B2213" s="3" t="s">
        <v>1014</v>
      </c>
      <c r="C2213">
        <f>IMAGE("https://raw.githubusercontent.com/stautonico/tcg-livingdex/main/images/738/1.png", 2)</f>
        <v>0</v>
      </c>
      <c r="G2213" t="s">
        <v>9</v>
      </c>
    </row>
    <row r="2214" spans="1:7">
      <c r="C2214" s="4" t="s">
        <v>8</v>
      </c>
    </row>
    <row r="2216" spans="1:7" ht="264" customHeight="1">
      <c r="A2216" s="2">
        <v>739</v>
      </c>
      <c r="B2216" s="3" t="s">
        <v>1015</v>
      </c>
      <c r="C2216">
        <f>IMAGE("https://raw.githubusercontent.com/stautonico/tcg-livingdex/main/images/739/1.png", 2)</f>
        <v>0</v>
      </c>
      <c r="G2216" t="s">
        <v>9</v>
      </c>
    </row>
    <row r="2217" spans="1:7">
      <c r="C2217" s="4" t="s">
        <v>8</v>
      </c>
    </row>
    <row r="2219" spans="1:7" ht="264" customHeight="1">
      <c r="A2219" s="2">
        <v>740</v>
      </c>
      <c r="B2219" s="3" t="s">
        <v>1016</v>
      </c>
      <c r="C2219">
        <f>IMAGE("https://raw.githubusercontent.com/stautonico/tcg-livingdex/main/images/740/1.png", 2)</f>
        <v>0</v>
      </c>
      <c r="G2219" t="s">
        <v>9</v>
      </c>
    </row>
    <row r="2220" spans="1:7">
      <c r="C2220" s="4" t="s">
        <v>8</v>
      </c>
    </row>
    <row r="2222" spans="1:7" ht="264" customHeight="1">
      <c r="A2222" s="2">
        <v>741</v>
      </c>
      <c r="B2222" s="3" t="s">
        <v>1017</v>
      </c>
      <c r="C2222">
        <f>IMAGE("https://raw.githubusercontent.com/stautonico/tcg-livingdex/main/images/741/1.png", 2)</f>
        <v>0</v>
      </c>
      <c r="D2222">
        <f>IMAGE("https://raw.githubusercontent.com/stautonico/tcg-livingdex/main/images/741/2.png", 2)</f>
        <v>0</v>
      </c>
      <c r="G2222" t="s">
        <v>9</v>
      </c>
    </row>
    <row r="2223" spans="1:7">
      <c r="C2223" s="4" t="s">
        <v>1018</v>
      </c>
      <c r="D2223" s="4" t="s">
        <v>1019</v>
      </c>
    </row>
    <row r="2225" spans="1:7" ht="264" customHeight="1">
      <c r="A2225" s="2">
        <v>742</v>
      </c>
      <c r="B2225" s="3" t="s">
        <v>1020</v>
      </c>
      <c r="C2225">
        <f>IMAGE("https://raw.githubusercontent.com/stautonico/tcg-livingdex/main/images/742/1.png", 2)</f>
        <v>0</v>
      </c>
      <c r="D2225">
        <f>IMAGE("https://raw.githubusercontent.com/stautonico/tcg-livingdex/main/images/742/2.png", 2)</f>
        <v>0</v>
      </c>
      <c r="G2225" t="s">
        <v>9</v>
      </c>
    </row>
    <row r="2226" spans="1:7">
      <c r="C2226" s="4" t="s">
        <v>1021</v>
      </c>
      <c r="D2226" s="4" t="s">
        <v>1022</v>
      </c>
    </row>
    <row r="2228" spans="1:7" ht="264" customHeight="1">
      <c r="A2228" s="2">
        <v>743</v>
      </c>
      <c r="B2228" s="3" t="s">
        <v>1023</v>
      </c>
      <c r="C2228">
        <f>IMAGE("https://raw.githubusercontent.com/stautonico/tcg-livingdex/main/images/743/1.png", 2)</f>
        <v>0</v>
      </c>
      <c r="D2228">
        <f>IMAGE("https://raw.githubusercontent.com/stautonico/tcg-livingdex/main/images/743/2.png", 2)</f>
        <v>0</v>
      </c>
      <c r="E2228">
        <f>IMAGE("https://raw.githubusercontent.com/stautonico/tcg-livingdex/main/images/743/3.png", 2)</f>
        <v>0</v>
      </c>
      <c r="F2228">
        <f>IMAGE("https://raw.githubusercontent.com/stautonico/tcg-livingdex/main/images/743/4.png", 2)</f>
        <v>0</v>
      </c>
      <c r="G2228" t="s">
        <v>9</v>
      </c>
    </row>
    <row r="2229" spans="1:7">
      <c r="C2229" s="4" t="s">
        <v>1024</v>
      </c>
      <c r="D2229" s="4" t="s">
        <v>1025</v>
      </c>
      <c r="E2229" s="4" t="s">
        <v>1026</v>
      </c>
      <c r="F2229" s="4" t="s">
        <v>1027</v>
      </c>
    </row>
    <row r="2231" spans="1:7" ht="264" customHeight="1">
      <c r="A2231" s="2">
        <v>744</v>
      </c>
      <c r="B2231" s="3" t="s">
        <v>1028</v>
      </c>
      <c r="C2231">
        <f>IMAGE("https://raw.githubusercontent.com/stautonico/tcg-livingdex/main/images/744/1.png", 2)</f>
        <v>0</v>
      </c>
      <c r="G2231" t="s">
        <v>9</v>
      </c>
    </row>
    <row r="2232" spans="1:7">
      <c r="C2232" s="4" t="s">
        <v>8</v>
      </c>
    </row>
    <row r="2234" spans="1:7" ht="264" customHeight="1">
      <c r="A2234" s="2">
        <v>745</v>
      </c>
      <c r="B2234" s="3" t="s">
        <v>1029</v>
      </c>
      <c r="C2234">
        <f>IMAGE("https://raw.githubusercontent.com/stautonico/tcg-livingdex/main/images/745/1.png", 2)</f>
        <v>0</v>
      </c>
      <c r="G2234" t="s">
        <v>9</v>
      </c>
    </row>
    <row r="2235" spans="1:7">
      <c r="C2235" s="4" t="s">
        <v>1030</v>
      </c>
    </row>
    <row r="2237" spans="1:7" ht="264" customHeight="1">
      <c r="A2237" s="2">
        <v>746</v>
      </c>
      <c r="B2237" s="3" t="s">
        <v>1031</v>
      </c>
      <c r="C2237">
        <f>IMAGE("https://raw.githubusercontent.com/stautonico/tcg-livingdex/main/images/746/1.png", 2)</f>
        <v>0</v>
      </c>
      <c r="G2237" t="s">
        <v>9</v>
      </c>
    </row>
    <row r="2238" spans="1:7">
      <c r="C2238" s="4" t="s">
        <v>8</v>
      </c>
    </row>
    <row r="2240" spans="1:7" ht="264" customHeight="1">
      <c r="A2240" s="2">
        <v>747</v>
      </c>
      <c r="B2240" s="3" t="s">
        <v>1032</v>
      </c>
      <c r="C2240">
        <f>IMAGE("https://raw.githubusercontent.com/stautonico/tcg-livingdex/main/images/747/1.png", 2)</f>
        <v>0</v>
      </c>
      <c r="G2240" t="s">
        <v>9</v>
      </c>
    </row>
    <row r="2241" spans="1:7">
      <c r="C2241" s="4" t="s">
        <v>8</v>
      </c>
    </row>
    <row r="2243" spans="1:7" ht="264" customHeight="1">
      <c r="A2243" s="2">
        <v>748</v>
      </c>
      <c r="B2243" s="3" t="s">
        <v>1033</v>
      </c>
      <c r="C2243">
        <f>IMAGE("https://raw.githubusercontent.com/stautonico/tcg-livingdex/main/images/748/1.png", 2)</f>
        <v>0</v>
      </c>
      <c r="G2243" t="s">
        <v>9</v>
      </c>
    </row>
    <row r="2244" spans="1:7">
      <c r="C2244" s="4" t="s">
        <v>8</v>
      </c>
    </row>
    <row r="2246" spans="1:7" ht="264" customHeight="1">
      <c r="A2246" s="2">
        <v>749</v>
      </c>
      <c r="B2246" s="3" t="s">
        <v>1034</v>
      </c>
      <c r="C2246">
        <f>IMAGE("https://raw.githubusercontent.com/stautonico/tcg-livingdex/main/images/749/1.png", 2)</f>
        <v>0</v>
      </c>
      <c r="G2246" t="s">
        <v>9</v>
      </c>
    </row>
    <row r="2247" spans="1:7">
      <c r="C2247" s="4" t="s">
        <v>8</v>
      </c>
    </row>
    <row r="2249" spans="1:7" ht="264" customHeight="1">
      <c r="A2249" s="2">
        <v>750</v>
      </c>
      <c r="B2249" s="3" t="s">
        <v>1035</v>
      </c>
      <c r="C2249">
        <f>IMAGE("https://raw.githubusercontent.com/stautonico/tcg-livingdex/main/images/750/1.png", 2)</f>
        <v>0</v>
      </c>
      <c r="D2249">
        <f>IMAGE("https://raw.githubusercontent.com/stautonico/tcg-livingdex/main/images/750/2.png", 2)</f>
        <v>0</v>
      </c>
      <c r="E2249">
        <f>IMAGE("https://raw.githubusercontent.com/stautonico/tcg-livingdex/main/images/750/3.png", 2)</f>
        <v>0</v>
      </c>
      <c r="F2249">
        <f>IMAGE("https://raw.githubusercontent.com/stautonico/tcg-livingdex/main/images/750/4.png", 2)</f>
        <v>0</v>
      </c>
      <c r="G2249" t="s">
        <v>9</v>
      </c>
    </row>
    <row r="2250" spans="1:7">
      <c r="C2250" s="4" t="s">
        <v>1036</v>
      </c>
      <c r="D2250" s="4" t="s">
        <v>1037</v>
      </c>
      <c r="E2250" s="4" t="s">
        <v>1038</v>
      </c>
      <c r="F2250" s="4" t="s">
        <v>1039</v>
      </c>
    </row>
    <row r="2252" spans="1:7" ht="264" customHeight="1">
      <c r="A2252" s="2">
        <v>751</v>
      </c>
      <c r="B2252" s="3" t="s">
        <v>1040</v>
      </c>
      <c r="C2252">
        <f>IMAGE("https://raw.githubusercontent.com/stautonico/tcg-livingdex/main/images/751/1.png", 2)</f>
        <v>0</v>
      </c>
      <c r="G2252" t="s">
        <v>9</v>
      </c>
    </row>
    <row r="2253" spans="1:7">
      <c r="C2253" s="4" t="s">
        <v>8</v>
      </c>
    </row>
    <row r="2255" spans="1:7" ht="264" customHeight="1">
      <c r="A2255" s="2">
        <v>752</v>
      </c>
      <c r="B2255" s="3" t="s">
        <v>1041</v>
      </c>
      <c r="C2255">
        <f>IMAGE("https://raw.githubusercontent.com/stautonico/tcg-livingdex/main/images/752/1.png", 2)</f>
        <v>0</v>
      </c>
      <c r="G2255" t="s">
        <v>9</v>
      </c>
    </row>
    <row r="2256" spans="1:7">
      <c r="C2256" s="4" t="s">
        <v>8</v>
      </c>
    </row>
    <row r="2258" spans="1:7" ht="264" customHeight="1">
      <c r="A2258" s="2">
        <v>753</v>
      </c>
      <c r="B2258" s="3" t="s">
        <v>1042</v>
      </c>
      <c r="C2258">
        <f>IMAGE("https://raw.githubusercontent.com/stautonico/tcg-livingdex/main/images/753/1.png", 2)</f>
        <v>0</v>
      </c>
      <c r="G2258" t="s">
        <v>9</v>
      </c>
    </row>
    <row r="2259" spans="1:7">
      <c r="C2259" s="4" t="s">
        <v>8</v>
      </c>
    </row>
    <row r="2261" spans="1:7" ht="264" customHeight="1">
      <c r="A2261" s="2">
        <v>754</v>
      </c>
      <c r="B2261" s="3" t="s">
        <v>1043</v>
      </c>
      <c r="C2261">
        <f>IMAGE("https://raw.githubusercontent.com/stautonico/tcg-livingdex/main/images/754/1.png", 2)</f>
        <v>0</v>
      </c>
      <c r="G2261" t="s">
        <v>9</v>
      </c>
    </row>
    <row r="2262" spans="1:7">
      <c r="C2262" s="4" t="s">
        <v>8</v>
      </c>
    </row>
    <row r="2264" spans="1:7" ht="264" customHeight="1">
      <c r="A2264" s="2">
        <v>755</v>
      </c>
      <c r="B2264" s="3" t="s">
        <v>1044</v>
      </c>
      <c r="C2264">
        <f>IMAGE("https://raw.githubusercontent.com/stautonico/tcg-livingdex/main/images/755/1.png", 2)</f>
        <v>0</v>
      </c>
      <c r="G2264" t="s">
        <v>9</v>
      </c>
    </row>
    <row r="2265" spans="1:7">
      <c r="C2265" s="4" t="s">
        <v>8</v>
      </c>
    </row>
    <row r="2267" spans="1:7" ht="264" customHeight="1">
      <c r="A2267" s="2">
        <v>756</v>
      </c>
      <c r="B2267" s="3" t="s">
        <v>1045</v>
      </c>
      <c r="C2267">
        <f>IMAGE("https://raw.githubusercontent.com/stautonico/tcg-livingdex/main/images/756/1.png", 2)</f>
        <v>0</v>
      </c>
      <c r="G2267" t="s">
        <v>9</v>
      </c>
    </row>
    <row r="2268" spans="1:7">
      <c r="C2268" s="4" t="s">
        <v>8</v>
      </c>
    </row>
    <row r="2270" spans="1:7" ht="264" customHeight="1">
      <c r="A2270" s="2">
        <v>757</v>
      </c>
      <c r="B2270" s="3" t="s">
        <v>1046</v>
      </c>
      <c r="C2270">
        <f>IMAGE("https://raw.githubusercontent.com/stautonico/tcg-livingdex/main/images/757/1.png", 2)</f>
        <v>0</v>
      </c>
      <c r="G2270" t="s">
        <v>9</v>
      </c>
    </row>
    <row r="2271" spans="1:7">
      <c r="C2271" s="4" t="s">
        <v>8</v>
      </c>
    </row>
    <row r="2273" spans="1:7" ht="264" customHeight="1">
      <c r="A2273" s="2">
        <v>758</v>
      </c>
      <c r="B2273" s="3" t="s">
        <v>1047</v>
      </c>
      <c r="C2273">
        <f>IMAGE("https://raw.githubusercontent.com/stautonico/tcg-livingdex/main/images/758/1.png", 2)</f>
        <v>0</v>
      </c>
      <c r="G2273" t="s">
        <v>9</v>
      </c>
    </row>
    <row r="2274" spans="1:7">
      <c r="C2274" s="4" t="s">
        <v>8</v>
      </c>
    </row>
    <row r="2276" spans="1:7" ht="264" customHeight="1">
      <c r="A2276" s="2">
        <v>759</v>
      </c>
      <c r="B2276" s="3" t="s">
        <v>1048</v>
      </c>
      <c r="C2276">
        <f>IMAGE("https://raw.githubusercontent.com/stautonico/tcg-livingdex/main/images/759/1.png", 2)</f>
        <v>0</v>
      </c>
      <c r="G2276" t="s">
        <v>9</v>
      </c>
    </row>
    <row r="2277" spans="1:7">
      <c r="C2277" s="4" t="s">
        <v>8</v>
      </c>
    </row>
    <row r="2279" spans="1:7" ht="264" customHeight="1">
      <c r="A2279" s="2">
        <v>760</v>
      </c>
      <c r="B2279" s="3" t="s">
        <v>1049</v>
      </c>
      <c r="C2279">
        <f>IMAGE("https://raw.githubusercontent.com/stautonico/tcg-livingdex/main/images/760/1.png", 2)</f>
        <v>0</v>
      </c>
      <c r="G2279" t="s">
        <v>9</v>
      </c>
    </row>
    <row r="2280" spans="1:7">
      <c r="C2280" s="4" t="s">
        <v>8</v>
      </c>
    </row>
    <row r="2282" spans="1:7" ht="264" customHeight="1">
      <c r="A2282" s="2">
        <v>761</v>
      </c>
      <c r="B2282" s="3" t="s">
        <v>1050</v>
      </c>
      <c r="C2282">
        <f>IMAGE("https://raw.githubusercontent.com/stautonico/tcg-livingdex/main/images/761/1.png", 2)</f>
        <v>0</v>
      </c>
      <c r="G2282" t="s">
        <v>9</v>
      </c>
    </row>
    <row r="2283" spans="1:7">
      <c r="C2283" s="4" t="s">
        <v>8</v>
      </c>
    </row>
    <row r="2285" spans="1:7" ht="264" customHeight="1">
      <c r="A2285" s="2">
        <v>762</v>
      </c>
      <c r="B2285" s="3" t="s">
        <v>1051</v>
      </c>
      <c r="C2285">
        <f>IMAGE("https://raw.githubusercontent.com/stautonico/tcg-livingdex/main/images/762/1.png", 2)</f>
        <v>0</v>
      </c>
      <c r="G2285" t="s">
        <v>9</v>
      </c>
    </row>
    <row r="2286" spans="1:7">
      <c r="C2286" s="4" t="s">
        <v>8</v>
      </c>
    </row>
    <row r="2288" spans="1:7" ht="264" customHeight="1">
      <c r="A2288" s="2">
        <v>763</v>
      </c>
      <c r="B2288" s="3" t="s">
        <v>1052</v>
      </c>
      <c r="C2288">
        <f>IMAGE("https://raw.githubusercontent.com/stautonico/tcg-livingdex/main/images/763/1.png", 2)</f>
        <v>0</v>
      </c>
      <c r="D2288">
        <f>IMAGE("https://raw.githubusercontent.com/stautonico/tcg-livingdex/main/images/763/2.png", 2)</f>
        <v>0</v>
      </c>
      <c r="E2288">
        <f>IMAGE("https://raw.githubusercontent.com/stautonico/tcg-livingdex/main/images/763/3.png", 2)</f>
        <v>0</v>
      </c>
      <c r="F2288">
        <f>IMAGE("https://raw.githubusercontent.com/stautonico/tcg-livingdex/main/images/763/4.png", 2)</f>
        <v>0</v>
      </c>
      <c r="G2288" t="s">
        <v>9</v>
      </c>
    </row>
    <row r="2289" spans="1:7">
      <c r="C2289" s="4" t="s">
        <v>1053</v>
      </c>
      <c r="D2289" s="4" t="s">
        <v>1054</v>
      </c>
      <c r="E2289" s="4" t="s">
        <v>1055</v>
      </c>
      <c r="F2289" s="4" t="s">
        <v>1056</v>
      </c>
    </row>
    <row r="2291" spans="1:7" ht="264" customHeight="1">
      <c r="A2291" s="2">
        <v>764</v>
      </c>
      <c r="B2291" s="3" t="s">
        <v>1057</v>
      </c>
      <c r="C2291">
        <f>IMAGE("https://raw.githubusercontent.com/stautonico/tcg-livingdex/main/images/764/1.png", 2)</f>
        <v>0</v>
      </c>
      <c r="G2291" t="s">
        <v>9</v>
      </c>
    </row>
    <row r="2292" spans="1:7">
      <c r="C2292" s="4" t="s">
        <v>8</v>
      </c>
    </row>
    <row r="2294" spans="1:7" ht="264" customHeight="1">
      <c r="A2294" s="2">
        <v>765</v>
      </c>
      <c r="B2294" s="3" t="s">
        <v>1058</v>
      </c>
      <c r="C2294">
        <f>IMAGE("https://raw.githubusercontent.com/stautonico/tcg-livingdex/main/images/765/1.png", 2)</f>
        <v>0</v>
      </c>
      <c r="G2294" t="s">
        <v>9</v>
      </c>
    </row>
    <row r="2295" spans="1:7">
      <c r="C2295" s="4" t="s">
        <v>8</v>
      </c>
    </row>
    <row r="2297" spans="1:7" ht="264" customHeight="1">
      <c r="A2297" s="2">
        <v>766</v>
      </c>
      <c r="B2297" s="3" t="s">
        <v>1059</v>
      </c>
      <c r="C2297">
        <f>IMAGE("https://raw.githubusercontent.com/stautonico/tcg-livingdex/main/images/766/1.png", 2)</f>
        <v>0</v>
      </c>
      <c r="G2297" t="s">
        <v>9</v>
      </c>
    </row>
    <row r="2298" spans="1:7">
      <c r="C2298" s="4" t="s">
        <v>8</v>
      </c>
    </row>
    <row r="2300" spans="1:7" ht="264" customHeight="1">
      <c r="A2300" s="2">
        <v>767</v>
      </c>
      <c r="B2300" s="3" t="s">
        <v>1060</v>
      </c>
      <c r="C2300">
        <f>IMAGE("https://raw.githubusercontent.com/stautonico/tcg-livingdex/main/images/767/1.png", 2)</f>
        <v>0</v>
      </c>
      <c r="D2300">
        <f>IMAGE("https://raw.githubusercontent.com/stautonico/tcg-livingdex/main/images/767/2.png", 2)</f>
        <v>0</v>
      </c>
      <c r="E2300">
        <f>IMAGE("https://raw.githubusercontent.com/stautonico/tcg-livingdex/main/images/767/3.png", 2)</f>
        <v>0</v>
      </c>
      <c r="G2300" t="s">
        <v>9</v>
      </c>
    </row>
    <row r="2301" spans="1:7">
      <c r="C2301" s="4" t="s">
        <v>1061</v>
      </c>
      <c r="D2301" s="4" t="s">
        <v>1062</v>
      </c>
      <c r="E2301" s="4" t="s">
        <v>1063</v>
      </c>
    </row>
    <row r="2303" spans="1:7" ht="264" customHeight="1">
      <c r="A2303" s="2">
        <v>768</v>
      </c>
      <c r="B2303" s="3" t="s">
        <v>1064</v>
      </c>
      <c r="C2303">
        <f>IMAGE("https://raw.githubusercontent.com/stautonico/tcg-livingdex/main/images/768/1.png", 2)</f>
        <v>0</v>
      </c>
      <c r="G2303" t="s">
        <v>9</v>
      </c>
    </row>
    <row r="2304" spans="1:7">
      <c r="C2304" s="4" t="s">
        <v>8</v>
      </c>
    </row>
    <row r="2306" spans="1:7" ht="264" customHeight="1">
      <c r="A2306" s="2">
        <v>769</v>
      </c>
      <c r="B2306" s="3" t="s">
        <v>1065</v>
      </c>
      <c r="C2306">
        <f>IMAGE("https://raw.githubusercontent.com/stautonico/tcg-livingdex/main/images/769/1.png", 2)</f>
        <v>0</v>
      </c>
      <c r="G2306" t="s">
        <v>9</v>
      </c>
    </row>
    <row r="2307" spans="1:7">
      <c r="C2307" s="4" t="s">
        <v>8</v>
      </c>
    </row>
    <row r="2309" spans="1:7" ht="264" customHeight="1">
      <c r="A2309" s="2">
        <v>770</v>
      </c>
      <c r="B2309" s="3" t="s">
        <v>1066</v>
      </c>
      <c r="C2309">
        <f>IMAGE("https://raw.githubusercontent.com/stautonico/tcg-livingdex/main/images/770/1.png", 2)</f>
        <v>0</v>
      </c>
      <c r="G2309" t="s">
        <v>9</v>
      </c>
    </row>
    <row r="2310" spans="1:7">
      <c r="C2310" s="4" t="s">
        <v>8</v>
      </c>
    </row>
    <row r="2312" spans="1:7" ht="264" customHeight="1">
      <c r="A2312" s="2">
        <v>771</v>
      </c>
      <c r="B2312" s="3" t="s">
        <v>1067</v>
      </c>
      <c r="C2312">
        <f>IMAGE("https://raw.githubusercontent.com/stautonico/tcg-livingdex/main/images/771/1.png", 2)</f>
        <v>0</v>
      </c>
      <c r="G2312" t="s">
        <v>9</v>
      </c>
    </row>
    <row r="2313" spans="1:7">
      <c r="C2313" s="4" t="s">
        <v>8</v>
      </c>
    </row>
    <row r="2315" spans="1:7" ht="264" customHeight="1">
      <c r="A2315" s="2">
        <v>772</v>
      </c>
      <c r="B2315" s="3" t="s">
        <v>1068</v>
      </c>
      <c r="C2315">
        <f>IMAGE("https://raw.githubusercontent.com/stautonico/tcg-livingdex/main/images/772/1.png", 2)</f>
        <v>0</v>
      </c>
      <c r="G2315" t="s">
        <v>9</v>
      </c>
    </row>
    <row r="2316" spans="1:7">
      <c r="C2316" s="4" t="s">
        <v>8</v>
      </c>
    </row>
    <row r="2318" spans="1:7" ht="264" customHeight="1">
      <c r="A2318" s="2">
        <v>773</v>
      </c>
      <c r="B2318" s="3" t="s">
        <v>1069</v>
      </c>
      <c r="C2318">
        <f>IMAGE("https://raw.githubusercontent.com/stautonico/tcg-livingdex/main/images/773/1.png", 2)</f>
        <v>0</v>
      </c>
      <c r="G2318" t="s">
        <v>9</v>
      </c>
    </row>
    <row r="2319" spans="1:7">
      <c r="C2319" s="4" t="s">
        <v>8</v>
      </c>
    </row>
    <row r="2321" spans="1:7" ht="264" customHeight="1">
      <c r="A2321" s="2">
        <v>774</v>
      </c>
      <c r="B2321" s="3" t="s">
        <v>1070</v>
      </c>
      <c r="C2321">
        <f>IMAGE("https://raw.githubusercontent.com/stautonico/tcg-livingdex/main/images/774/1.png", 2)</f>
        <v>0</v>
      </c>
      <c r="G2321" t="s">
        <v>9</v>
      </c>
    </row>
    <row r="2322" spans="1:7">
      <c r="C2322" s="4" t="s">
        <v>8</v>
      </c>
    </row>
    <row r="2324" spans="1:7" ht="264" customHeight="1">
      <c r="A2324" s="2">
        <v>775</v>
      </c>
      <c r="B2324" s="3" t="s">
        <v>1071</v>
      </c>
      <c r="C2324">
        <f>IMAGE("https://raw.githubusercontent.com/stautonico/tcg-livingdex/main/images/775/1.png", 2)</f>
        <v>0</v>
      </c>
      <c r="G2324" t="s">
        <v>9</v>
      </c>
    </row>
    <row r="2325" spans="1:7">
      <c r="C2325" s="4" t="s">
        <v>8</v>
      </c>
    </row>
    <row r="2327" spans="1:7" ht="264" customHeight="1">
      <c r="A2327" s="2">
        <v>776</v>
      </c>
      <c r="B2327" s="3" t="s">
        <v>1072</v>
      </c>
      <c r="C2327">
        <f>IMAGE("https://raw.githubusercontent.com/stautonico/tcg-livingdex/main/images/776/1.png", 2)</f>
        <v>0</v>
      </c>
      <c r="G2327" t="s">
        <v>9</v>
      </c>
    </row>
    <row r="2328" spans="1:7">
      <c r="C2328" s="4" t="s">
        <v>8</v>
      </c>
    </row>
    <row r="2330" spans="1:7" ht="264" customHeight="1">
      <c r="A2330" s="2">
        <v>777</v>
      </c>
      <c r="B2330" s="3" t="s">
        <v>1073</v>
      </c>
      <c r="C2330">
        <f>IMAGE("https://raw.githubusercontent.com/stautonico/tcg-livingdex/main/images/777/1.png", 2)</f>
        <v>0</v>
      </c>
      <c r="D2330">
        <f>IMAGE("https://raw.githubusercontent.com/stautonico/tcg-livingdex/main/images/777/2.png", 2)</f>
        <v>0</v>
      </c>
      <c r="E2330">
        <f>IMAGE("https://raw.githubusercontent.com/stautonico/tcg-livingdex/main/images/777/3.png", 2)</f>
        <v>0</v>
      </c>
      <c r="F2330">
        <f>IMAGE("https://raw.githubusercontent.com/stautonico/tcg-livingdex/main/images/777/4.png", 2)</f>
        <v>0</v>
      </c>
      <c r="G2330" t="s">
        <v>9</v>
      </c>
    </row>
    <row r="2331" spans="1:7">
      <c r="C2331" s="4" t="s">
        <v>1074</v>
      </c>
      <c r="D2331" s="4" t="s">
        <v>1075</v>
      </c>
      <c r="E2331" s="4" t="s">
        <v>1076</v>
      </c>
      <c r="F2331" s="4" t="s">
        <v>1077</v>
      </c>
    </row>
    <row r="2333" spans="1:7" ht="264" customHeight="1">
      <c r="A2333" s="2">
        <v>778</v>
      </c>
      <c r="B2333" s="3" t="s">
        <v>1078</v>
      </c>
      <c r="C2333">
        <f>IMAGE("https://raw.githubusercontent.com/stautonico/tcg-livingdex/main/images/778/1.png", 2)</f>
        <v>0</v>
      </c>
      <c r="G2333" t="s">
        <v>9</v>
      </c>
    </row>
    <row r="2334" spans="1:7">
      <c r="C2334" s="4" t="s">
        <v>8</v>
      </c>
    </row>
    <row r="2336" spans="1:7" ht="264" customHeight="1">
      <c r="A2336" s="2">
        <v>779</v>
      </c>
      <c r="B2336" s="3" t="s">
        <v>1079</v>
      </c>
      <c r="C2336">
        <f>IMAGE("https://raw.githubusercontent.com/stautonico/tcg-livingdex/main/images/779/1.png", 2)</f>
        <v>0</v>
      </c>
      <c r="G2336" t="s">
        <v>9</v>
      </c>
    </row>
    <row r="2337" spans="1:7">
      <c r="C2337" s="4" t="s">
        <v>8</v>
      </c>
    </row>
    <row r="2339" spans="1:7" ht="264" customHeight="1">
      <c r="A2339" s="2">
        <v>780</v>
      </c>
      <c r="B2339" s="3" t="s">
        <v>1080</v>
      </c>
      <c r="C2339">
        <f>IMAGE("https://raw.githubusercontent.com/stautonico/tcg-livingdex/main/images/780/1.png", 2)</f>
        <v>0</v>
      </c>
      <c r="G2339" t="s">
        <v>9</v>
      </c>
    </row>
    <row r="2340" spans="1:7">
      <c r="C2340" s="4" t="s">
        <v>8</v>
      </c>
    </row>
    <row r="2342" spans="1:7" ht="264" customHeight="1">
      <c r="A2342" s="2">
        <v>781</v>
      </c>
      <c r="B2342" s="3" t="s">
        <v>1081</v>
      </c>
      <c r="C2342">
        <f>IMAGE("https://raw.githubusercontent.com/stautonico/tcg-livingdex/main/images/781/1.png", 2)</f>
        <v>0</v>
      </c>
      <c r="G2342" t="s">
        <v>9</v>
      </c>
    </row>
    <row r="2343" spans="1:7">
      <c r="C2343" s="4" t="s">
        <v>8</v>
      </c>
    </row>
    <row r="2345" spans="1:7" ht="264" customHeight="1">
      <c r="A2345" s="2">
        <v>782</v>
      </c>
      <c r="B2345" s="3" t="s">
        <v>1082</v>
      </c>
      <c r="C2345">
        <f>IMAGE("https://raw.githubusercontent.com/stautonico/tcg-livingdex/main/images/782/1.png", 2)</f>
        <v>0</v>
      </c>
      <c r="G2345" t="s">
        <v>9</v>
      </c>
    </row>
    <row r="2346" spans="1:7">
      <c r="C2346" s="4" t="s">
        <v>8</v>
      </c>
    </row>
    <row r="2348" spans="1:7" ht="264" customHeight="1">
      <c r="A2348" s="2">
        <v>783</v>
      </c>
      <c r="B2348" s="3" t="s">
        <v>1083</v>
      </c>
      <c r="C2348">
        <f>IMAGE("https://raw.githubusercontent.com/stautonico/tcg-livingdex/main/images/783/1.png", 2)</f>
        <v>0</v>
      </c>
      <c r="G2348" t="s">
        <v>9</v>
      </c>
    </row>
    <row r="2349" spans="1:7">
      <c r="C2349" s="4" t="s">
        <v>8</v>
      </c>
    </row>
    <row r="2351" spans="1:7" ht="264" customHeight="1">
      <c r="A2351" s="2">
        <v>784</v>
      </c>
      <c r="B2351" s="3" t="s">
        <v>1084</v>
      </c>
      <c r="C2351">
        <f>IMAGE("https://raw.githubusercontent.com/stautonico/tcg-livingdex/main/images/784/1.png", 2)</f>
        <v>0</v>
      </c>
      <c r="G2351" t="s">
        <v>9</v>
      </c>
    </row>
    <row r="2352" spans="1:7">
      <c r="C2352" s="4" t="s">
        <v>8</v>
      </c>
    </row>
    <row r="2354" spans="1:7" ht="264" customHeight="1">
      <c r="A2354" s="2">
        <v>785</v>
      </c>
      <c r="B2354" s="3" t="s">
        <v>1085</v>
      </c>
      <c r="C2354">
        <f>IMAGE("https://raw.githubusercontent.com/stautonico/tcg-livingdex/main/images/785/1.png", 2)</f>
        <v>0</v>
      </c>
      <c r="D2354">
        <f>IMAGE("https://raw.githubusercontent.com/stautonico/tcg-livingdex/main/images/785/2.png", 2)</f>
        <v>0</v>
      </c>
      <c r="E2354">
        <f>IMAGE("https://raw.githubusercontent.com/stautonico/tcg-livingdex/main/images/785/3.png", 2)</f>
        <v>0</v>
      </c>
      <c r="F2354">
        <f>IMAGE("https://raw.githubusercontent.com/stautonico/tcg-livingdex/main/images/785/4.png", 2)</f>
        <v>0</v>
      </c>
      <c r="G2354" t="s">
        <v>9</v>
      </c>
    </row>
    <row r="2355" spans="1:7">
      <c r="C2355" s="4" t="s">
        <v>1086</v>
      </c>
      <c r="D2355" s="4" t="s">
        <v>1087</v>
      </c>
      <c r="E2355" s="4" t="s">
        <v>1088</v>
      </c>
      <c r="F2355" s="4" t="s">
        <v>1089</v>
      </c>
    </row>
    <row r="2357" spans="1:7" ht="264" customHeight="1">
      <c r="A2357" s="2">
        <v>786</v>
      </c>
      <c r="B2357" s="3" t="s">
        <v>1090</v>
      </c>
      <c r="C2357">
        <f>IMAGE("https://raw.githubusercontent.com/stautonico/tcg-livingdex/main/images/786/1.png", 2)</f>
        <v>0</v>
      </c>
      <c r="G2357" t="s">
        <v>9</v>
      </c>
    </row>
    <row r="2358" spans="1:7">
      <c r="C2358" s="4" t="s">
        <v>8</v>
      </c>
    </row>
    <row r="2360" spans="1:7" ht="264" customHeight="1">
      <c r="A2360" s="2">
        <v>787</v>
      </c>
      <c r="B2360" s="3" t="s">
        <v>1091</v>
      </c>
      <c r="C2360">
        <f>IMAGE("https://raw.githubusercontent.com/stautonico/tcg-livingdex/main/images/787/1.png", 2)</f>
        <v>0</v>
      </c>
      <c r="G2360" t="s">
        <v>9</v>
      </c>
    </row>
    <row r="2361" spans="1:7">
      <c r="C2361" s="4" t="s">
        <v>8</v>
      </c>
    </row>
    <row r="2363" spans="1:7" ht="264" customHeight="1">
      <c r="A2363" s="2">
        <v>788</v>
      </c>
      <c r="B2363" s="3" t="s">
        <v>1092</v>
      </c>
      <c r="C2363">
        <f>IMAGE("https://raw.githubusercontent.com/stautonico/tcg-livingdex/main/images/788/1.png", 2)</f>
        <v>0</v>
      </c>
      <c r="G2363" t="s">
        <v>9</v>
      </c>
    </row>
    <row r="2364" spans="1:7">
      <c r="C2364" s="4" t="s">
        <v>8</v>
      </c>
    </row>
    <row r="2366" spans="1:7" ht="264" customHeight="1">
      <c r="A2366" s="2">
        <v>789</v>
      </c>
      <c r="B2366" s="3" t="s">
        <v>1093</v>
      </c>
      <c r="C2366">
        <f>IMAGE("https://raw.githubusercontent.com/stautonico/tcg-livingdex/main/images/789/1.png", 2)</f>
        <v>0</v>
      </c>
      <c r="G2366" t="s">
        <v>9</v>
      </c>
    </row>
    <row r="2367" spans="1:7">
      <c r="C2367" s="4" t="s">
        <v>8</v>
      </c>
    </row>
    <row r="2369" spans="1:7" ht="264" customHeight="1">
      <c r="A2369" s="2">
        <v>790</v>
      </c>
      <c r="B2369" s="3" t="s">
        <v>1094</v>
      </c>
      <c r="C2369">
        <f>IMAGE("https://raw.githubusercontent.com/stautonico/tcg-livingdex/main/images/790/1.png", 2)</f>
        <v>0</v>
      </c>
      <c r="G2369" t="s">
        <v>9</v>
      </c>
    </row>
    <row r="2370" spans="1:7">
      <c r="C2370" s="4" t="s">
        <v>8</v>
      </c>
    </row>
    <row r="2372" spans="1:7" ht="264" customHeight="1">
      <c r="A2372" s="2">
        <v>791</v>
      </c>
      <c r="B2372" s="3" t="s">
        <v>1095</v>
      </c>
      <c r="C2372">
        <f>IMAGE("https://raw.githubusercontent.com/stautonico/tcg-livingdex/main/images/791/1.png", 2)</f>
        <v>0</v>
      </c>
      <c r="G2372" t="s">
        <v>9</v>
      </c>
    </row>
    <row r="2373" spans="1:7">
      <c r="C2373" s="4" t="s">
        <v>8</v>
      </c>
    </row>
    <row r="2375" spans="1:7" ht="264" customHeight="1">
      <c r="A2375" s="2">
        <v>792</v>
      </c>
      <c r="B2375" s="3" t="s">
        <v>1096</v>
      </c>
      <c r="C2375">
        <f>IMAGE("https://raw.githubusercontent.com/stautonico/tcg-livingdex/main/images/792/1.png", 2)</f>
        <v>0</v>
      </c>
      <c r="G2375" t="s">
        <v>9</v>
      </c>
    </row>
    <row r="2376" spans="1:7">
      <c r="C2376" s="4" t="s">
        <v>8</v>
      </c>
    </row>
    <row r="2378" spans="1:7" ht="264" customHeight="1">
      <c r="A2378" s="2">
        <v>793</v>
      </c>
      <c r="B2378" s="3" t="s">
        <v>1097</v>
      </c>
      <c r="C2378">
        <f>IMAGE("https://raw.githubusercontent.com/stautonico/tcg-livingdex/main/images/793/1.png", 2)</f>
        <v>0</v>
      </c>
      <c r="G2378" t="s">
        <v>9</v>
      </c>
    </row>
    <row r="2379" spans="1:7">
      <c r="C2379" s="4" t="s">
        <v>8</v>
      </c>
    </row>
    <row r="2381" spans="1:7" ht="264" customHeight="1">
      <c r="A2381" s="2">
        <v>794</v>
      </c>
      <c r="B2381" s="3" t="s">
        <v>1098</v>
      </c>
      <c r="C2381">
        <f>IMAGE("https://raw.githubusercontent.com/stautonico/tcg-livingdex/main/images/794/1.png", 2)</f>
        <v>0</v>
      </c>
      <c r="G2381" t="s">
        <v>9</v>
      </c>
    </row>
    <row r="2382" spans="1:7">
      <c r="C2382" s="4" t="s">
        <v>8</v>
      </c>
    </row>
    <row r="2384" spans="1:7" ht="264" customHeight="1">
      <c r="A2384" s="2">
        <v>795</v>
      </c>
      <c r="B2384" s="3" t="s">
        <v>1099</v>
      </c>
      <c r="C2384">
        <f>IMAGE("https://raw.githubusercontent.com/stautonico/tcg-livingdex/main/images/795/1.png", 2)</f>
        <v>0</v>
      </c>
      <c r="G2384" t="s">
        <v>9</v>
      </c>
    </row>
    <row r="2385" spans="1:7">
      <c r="C2385" s="4" t="s">
        <v>8</v>
      </c>
    </row>
    <row r="2387" spans="1:7" ht="264" customHeight="1">
      <c r="A2387" s="2">
        <v>796</v>
      </c>
      <c r="B2387" s="3" t="s">
        <v>1100</v>
      </c>
      <c r="C2387">
        <f>IMAGE("https://raw.githubusercontent.com/stautonico/tcg-livingdex/main/images/796/1.png", 2)</f>
        <v>0</v>
      </c>
      <c r="G2387" t="s">
        <v>9</v>
      </c>
    </row>
    <row r="2388" spans="1:7">
      <c r="C2388" s="4" t="s">
        <v>8</v>
      </c>
    </row>
    <row r="2390" spans="1:7" ht="264" customHeight="1">
      <c r="A2390" s="2">
        <v>797</v>
      </c>
      <c r="B2390" s="3" t="s">
        <v>1101</v>
      </c>
      <c r="C2390">
        <f>IMAGE("https://raw.githubusercontent.com/stautonico/tcg-livingdex/main/images/797/1.png", 2)</f>
        <v>0</v>
      </c>
      <c r="G2390" t="s">
        <v>9</v>
      </c>
    </row>
    <row r="2391" spans="1:7">
      <c r="C2391" s="4" t="s">
        <v>8</v>
      </c>
    </row>
    <row r="2393" spans="1:7" ht="264" customHeight="1">
      <c r="A2393" s="2">
        <v>798</v>
      </c>
      <c r="B2393" s="3" t="s">
        <v>1102</v>
      </c>
      <c r="C2393">
        <f>IMAGE("https://raw.githubusercontent.com/stautonico/tcg-livingdex/main/images/798/1.png", 2)</f>
        <v>0</v>
      </c>
      <c r="G2393" t="s">
        <v>9</v>
      </c>
    </row>
    <row r="2394" spans="1:7">
      <c r="C2394" s="4" t="s">
        <v>8</v>
      </c>
    </row>
    <row r="2396" spans="1:7" ht="264" customHeight="1">
      <c r="A2396" s="2">
        <v>799</v>
      </c>
      <c r="B2396" s="3" t="s">
        <v>1103</v>
      </c>
      <c r="C2396">
        <f>IMAGE("https://raw.githubusercontent.com/stautonico/tcg-livingdex/main/images/799/1.png", 2)</f>
        <v>0</v>
      </c>
      <c r="D2396">
        <f>IMAGE("https://raw.githubusercontent.com/stautonico/tcg-livingdex/main/images/799/2.png", 2)</f>
        <v>0</v>
      </c>
      <c r="E2396">
        <f>IMAGE("https://raw.githubusercontent.com/stautonico/tcg-livingdex/main/images/799/3.png", 2)</f>
        <v>0</v>
      </c>
      <c r="F2396">
        <f>IMAGE("https://raw.githubusercontent.com/stautonico/tcg-livingdex/main/images/799/4.png", 2)</f>
        <v>0</v>
      </c>
      <c r="G2396" t="s">
        <v>9</v>
      </c>
    </row>
    <row r="2397" spans="1:7">
      <c r="C2397" s="4" t="s">
        <v>1104</v>
      </c>
      <c r="D2397" s="4" t="s">
        <v>1105</v>
      </c>
      <c r="E2397" s="4" t="s">
        <v>1106</v>
      </c>
      <c r="F2397" s="4" t="s">
        <v>1107</v>
      </c>
    </row>
    <row r="2399" spans="1:7" ht="264" customHeight="1">
      <c r="A2399" s="2">
        <v>800</v>
      </c>
      <c r="B2399" s="3" t="s">
        <v>1108</v>
      </c>
      <c r="C2399">
        <f>IMAGE("https://raw.githubusercontent.com/stautonico/tcg-livingdex/main/images/800/1.png", 2)</f>
        <v>0</v>
      </c>
      <c r="G2399" t="s">
        <v>9</v>
      </c>
    </row>
    <row r="2400" spans="1:7">
      <c r="C2400" s="4" t="s">
        <v>8</v>
      </c>
    </row>
    <row r="2402" spans="1:7" ht="264" customHeight="1">
      <c r="A2402" s="2">
        <v>801</v>
      </c>
      <c r="B2402" s="3" t="s">
        <v>1109</v>
      </c>
      <c r="C2402">
        <f>IMAGE("https://raw.githubusercontent.com/stautonico/tcg-livingdex/main/images/801/1.png", 2)</f>
        <v>0</v>
      </c>
      <c r="G2402" t="s">
        <v>9</v>
      </c>
    </row>
    <row r="2403" spans="1:7">
      <c r="C2403" s="4" t="s">
        <v>8</v>
      </c>
    </row>
    <row r="2405" spans="1:7" ht="264" customHeight="1">
      <c r="A2405" s="2">
        <v>802</v>
      </c>
      <c r="B2405" s="3" t="s">
        <v>1110</v>
      </c>
      <c r="C2405">
        <f>IMAGE("https://raw.githubusercontent.com/stautonico/tcg-livingdex/main/images/802/1.png", 2)</f>
        <v>0</v>
      </c>
      <c r="D2405">
        <f>IMAGE("https://raw.githubusercontent.com/stautonico/tcg-livingdex/main/images/802/2.png", 2)</f>
        <v>0</v>
      </c>
      <c r="E2405">
        <f>IMAGE("https://raw.githubusercontent.com/stautonico/tcg-livingdex/main/images/802/3.png", 2)</f>
        <v>0</v>
      </c>
      <c r="F2405">
        <f>IMAGE("https://raw.githubusercontent.com/stautonico/tcg-livingdex/main/images/802/4.png", 2)</f>
        <v>0</v>
      </c>
      <c r="G2405" t="s">
        <v>9</v>
      </c>
    </row>
    <row r="2406" spans="1:7">
      <c r="C2406" s="4" t="s">
        <v>1111</v>
      </c>
      <c r="D2406" s="4" t="s">
        <v>1112</v>
      </c>
      <c r="E2406" s="4" t="s">
        <v>1113</v>
      </c>
      <c r="F2406" s="4" t="s">
        <v>1114</v>
      </c>
    </row>
    <row r="2408" spans="1:7" ht="264" customHeight="1">
      <c r="A2408" s="2">
        <v>803</v>
      </c>
      <c r="B2408" s="3" t="s">
        <v>1115</v>
      </c>
      <c r="C2408">
        <f>IMAGE("https://raw.githubusercontent.com/stautonico/tcg-livingdex/main/images/803/1.png", 2)</f>
        <v>0</v>
      </c>
      <c r="G2408" t="s">
        <v>9</v>
      </c>
    </row>
    <row r="2409" spans="1:7">
      <c r="C2409" s="4" t="s">
        <v>8</v>
      </c>
    </row>
    <row r="2411" spans="1:7" ht="264" customHeight="1">
      <c r="A2411" s="2">
        <v>804</v>
      </c>
      <c r="B2411" s="3" t="s">
        <v>1116</v>
      </c>
      <c r="C2411">
        <f>IMAGE("https://raw.githubusercontent.com/stautonico/tcg-livingdex/main/images/804/1.png", 2)</f>
        <v>0</v>
      </c>
      <c r="G2411" t="s">
        <v>9</v>
      </c>
    </row>
    <row r="2412" spans="1:7">
      <c r="C2412" s="4" t="s">
        <v>8</v>
      </c>
    </row>
    <row r="2414" spans="1:7" ht="264" customHeight="1">
      <c r="A2414" s="2">
        <v>805</v>
      </c>
      <c r="B2414" s="3" t="s">
        <v>1117</v>
      </c>
      <c r="C2414">
        <f>IMAGE("https://raw.githubusercontent.com/stautonico/tcg-livingdex/main/images/805/1.png", 2)</f>
        <v>0</v>
      </c>
      <c r="G2414" t="s">
        <v>9</v>
      </c>
    </row>
    <row r="2415" spans="1:7">
      <c r="C2415" s="4" t="s">
        <v>8</v>
      </c>
    </row>
    <row r="2417" spans="1:7" ht="264" customHeight="1">
      <c r="A2417" s="2">
        <v>806</v>
      </c>
      <c r="B2417" s="3" t="s">
        <v>1118</v>
      </c>
      <c r="C2417">
        <f>IMAGE("https://raw.githubusercontent.com/stautonico/tcg-livingdex/main/images/806/1.png", 2)</f>
        <v>0</v>
      </c>
      <c r="G2417" t="s">
        <v>9</v>
      </c>
    </row>
    <row r="2418" spans="1:7">
      <c r="C2418" s="4" t="s">
        <v>8</v>
      </c>
    </row>
    <row r="2420" spans="1:7" ht="264" customHeight="1">
      <c r="A2420" s="2">
        <v>807</v>
      </c>
      <c r="B2420" s="3" t="s">
        <v>1119</v>
      </c>
      <c r="C2420">
        <f>IMAGE("https://raw.githubusercontent.com/stautonico/tcg-livingdex/main/images/807/1.png", 2)</f>
        <v>0</v>
      </c>
      <c r="G2420" t="s">
        <v>9</v>
      </c>
    </row>
    <row r="2421" spans="1:7">
      <c r="C2421" s="4" t="s">
        <v>8</v>
      </c>
    </row>
    <row r="2423" spans="1:7" ht="264" customHeight="1">
      <c r="A2423" s="2">
        <v>808</v>
      </c>
      <c r="B2423" s="3" t="s">
        <v>1120</v>
      </c>
      <c r="C2423">
        <f>IMAGE("https://raw.githubusercontent.com/stautonico/tcg-livingdex/main/images/808/1.png", 2)</f>
        <v>0</v>
      </c>
      <c r="G2423" t="s">
        <v>9</v>
      </c>
    </row>
    <row r="2424" spans="1:7">
      <c r="C2424" s="4" t="s">
        <v>8</v>
      </c>
    </row>
    <row r="2426" spans="1:7" ht="264" customHeight="1">
      <c r="A2426" s="2">
        <v>809</v>
      </c>
      <c r="B2426" s="3" t="s">
        <v>1121</v>
      </c>
      <c r="C2426">
        <f>IMAGE("https://raw.githubusercontent.com/stautonico/tcg-livingdex/main/images/809/1.png", 2)</f>
        <v>0</v>
      </c>
      <c r="G2426" t="s">
        <v>9</v>
      </c>
    </row>
    <row r="2427" spans="1:7">
      <c r="C2427" s="4" t="s">
        <v>8</v>
      </c>
    </row>
    <row r="2429" spans="1:7" ht="264" customHeight="1">
      <c r="A2429" s="2">
        <v>810</v>
      </c>
      <c r="B2429" s="3" t="s">
        <v>1122</v>
      </c>
      <c r="C2429">
        <f>IMAGE("https://raw.githubusercontent.com/stautonico/tcg-livingdex/main/images/810/1.png", 2)</f>
        <v>0</v>
      </c>
      <c r="G2429" t="s">
        <v>9</v>
      </c>
    </row>
    <row r="2430" spans="1:7">
      <c r="C2430" s="4" t="s">
        <v>8</v>
      </c>
    </row>
    <row r="2432" spans="1:7" ht="264" customHeight="1">
      <c r="A2432" s="2">
        <v>811</v>
      </c>
      <c r="B2432" s="3" t="s">
        <v>1123</v>
      </c>
      <c r="C2432">
        <f>IMAGE("https://raw.githubusercontent.com/stautonico/tcg-livingdex/main/images/811/1.png", 2)</f>
        <v>0</v>
      </c>
      <c r="G2432" t="s">
        <v>9</v>
      </c>
    </row>
    <row r="2433" spans="1:7">
      <c r="C2433" s="4" t="s">
        <v>8</v>
      </c>
    </row>
    <row r="2435" spans="1:7" ht="264" customHeight="1">
      <c r="A2435" s="2">
        <v>812</v>
      </c>
      <c r="B2435" s="3" t="s">
        <v>1124</v>
      </c>
      <c r="C2435">
        <f>IMAGE("https://raw.githubusercontent.com/stautonico/tcg-livingdex/main/images/812/1.png", 2)</f>
        <v>0</v>
      </c>
      <c r="G2435" t="s">
        <v>9</v>
      </c>
    </row>
    <row r="2436" spans="1:7">
      <c r="C2436" s="4" t="s">
        <v>8</v>
      </c>
    </row>
    <row r="2438" spans="1:7" ht="264" customHeight="1">
      <c r="A2438" s="2">
        <v>813</v>
      </c>
      <c r="B2438" s="3" t="s">
        <v>1125</v>
      </c>
      <c r="C2438">
        <f>IMAGE("https://raw.githubusercontent.com/stautonico/tcg-livingdex/main/images/813/1.png", 2)</f>
        <v>0</v>
      </c>
      <c r="G2438" t="s">
        <v>9</v>
      </c>
    </row>
    <row r="2439" spans="1:7">
      <c r="C2439" s="4" t="s">
        <v>8</v>
      </c>
    </row>
    <row r="2441" spans="1:7" ht="264" customHeight="1">
      <c r="A2441" s="2">
        <v>814</v>
      </c>
      <c r="B2441" s="3" t="s">
        <v>1126</v>
      </c>
      <c r="C2441">
        <f>IMAGE("https://raw.githubusercontent.com/stautonico/tcg-livingdex/main/images/814/1.png", 2)</f>
        <v>0</v>
      </c>
      <c r="G2441" t="s">
        <v>9</v>
      </c>
    </row>
    <row r="2442" spans="1:7">
      <c r="C2442" s="4" t="s">
        <v>8</v>
      </c>
    </row>
    <row r="2444" spans="1:7" ht="264" customHeight="1">
      <c r="A2444" s="2">
        <v>815</v>
      </c>
      <c r="B2444" s="3" t="s">
        <v>1127</v>
      </c>
      <c r="C2444">
        <f>IMAGE("https://raw.githubusercontent.com/stautonico/tcg-livingdex/main/images/815/1.png", 2)</f>
        <v>0</v>
      </c>
      <c r="G2444" t="s">
        <v>9</v>
      </c>
    </row>
    <row r="2445" spans="1:7">
      <c r="C2445" s="4" t="s">
        <v>8</v>
      </c>
    </row>
    <row r="2447" spans="1:7" ht="264" customHeight="1">
      <c r="A2447" s="2">
        <v>816</v>
      </c>
      <c r="B2447" s="3" t="s">
        <v>1128</v>
      </c>
      <c r="C2447">
        <f>IMAGE("https://raw.githubusercontent.com/stautonico/tcg-livingdex/main/images/816/1.png", 2)</f>
        <v>0</v>
      </c>
      <c r="G2447" t="s">
        <v>9</v>
      </c>
    </row>
    <row r="2448" spans="1:7">
      <c r="C2448" s="4" t="s">
        <v>8</v>
      </c>
    </row>
    <row r="2450" spans="1:7" ht="264" customHeight="1">
      <c r="A2450" s="2">
        <v>817</v>
      </c>
      <c r="B2450" s="3" t="s">
        <v>1129</v>
      </c>
      <c r="C2450">
        <f>IMAGE("https://raw.githubusercontent.com/stautonico/tcg-livingdex/main/images/817/1.png", 2)</f>
        <v>0</v>
      </c>
      <c r="G2450" t="s">
        <v>9</v>
      </c>
    </row>
    <row r="2451" spans="1:7">
      <c r="C2451" s="4" t="s">
        <v>8</v>
      </c>
    </row>
    <row r="2453" spans="1:7" ht="264" customHeight="1">
      <c r="A2453" s="2">
        <v>818</v>
      </c>
      <c r="B2453" s="3" t="s">
        <v>1130</v>
      </c>
      <c r="C2453">
        <f>IMAGE("https://raw.githubusercontent.com/stautonico/tcg-livingdex/main/images/818/1.png", 2)</f>
        <v>0</v>
      </c>
      <c r="G2453" t="s">
        <v>9</v>
      </c>
    </row>
    <row r="2454" spans="1:7">
      <c r="C2454" s="4" t="s">
        <v>8</v>
      </c>
    </row>
    <row r="2456" spans="1:7" ht="264" customHeight="1">
      <c r="A2456" s="2">
        <v>819</v>
      </c>
      <c r="B2456" s="3" t="s">
        <v>1131</v>
      </c>
      <c r="C2456">
        <f>IMAGE("https://raw.githubusercontent.com/stautonico/tcg-livingdex/main/images/819/1.png", 2)</f>
        <v>0</v>
      </c>
      <c r="G2456" t="s">
        <v>9</v>
      </c>
    </row>
    <row r="2457" spans="1:7">
      <c r="C2457" s="4" t="s">
        <v>8</v>
      </c>
    </row>
    <row r="2459" spans="1:7" ht="264" customHeight="1">
      <c r="A2459" s="2">
        <v>820</v>
      </c>
      <c r="B2459" s="3" t="s">
        <v>1132</v>
      </c>
      <c r="C2459">
        <f>IMAGE("https://raw.githubusercontent.com/stautonico/tcg-livingdex/main/images/820/1.png", 2)</f>
        <v>0</v>
      </c>
      <c r="G2459" t="s">
        <v>9</v>
      </c>
    </row>
    <row r="2460" spans="1:7">
      <c r="C2460" s="4" t="s">
        <v>8</v>
      </c>
    </row>
    <row r="2462" spans="1:7" ht="264" customHeight="1">
      <c r="A2462" s="2">
        <v>821</v>
      </c>
      <c r="B2462" s="3" t="s">
        <v>1133</v>
      </c>
      <c r="C2462">
        <f>IMAGE("https://raw.githubusercontent.com/stautonico/tcg-livingdex/main/images/821/1.png", 2)</f>
        <v>0</v>
      </c>
      <c r="G2462" t="s">
        <v>9</v>
      </c>
    </row>
    <row r="2463" spans="1:7">
      <c r="C2463" s="4" t="s">
        <v>8</v>
      </c>
    </row>
    <row r="2465" spans="1:7" ht="264" customHeight="1">
      <c r="A2465" s="2">
        <v>822</v>
      </c>
      <c r="B2465" s="3" t="s">
        <v>1134</v>
      </c>
      <c r="C2465">
        <f>IMAGE("https://raw.githubusercontent.com/stautonico/tcg-livingdex/main/images/822/1.png", 2)</f>
        <v>0</v>
      </c>
      <c r="G2465" t="s">
        <v>9</v>
      </c>
    </row>
    <row r="2466" spans="1:7">
      <c r="C2466" s="4" t="s">
        <v>8</v>
      </c>
    </row>
    <row r="2468" spans="1:7" ht="264" customHeight="1">
      <c r="A2468" s="2">
        <v>823</v>
      </c>
      <c r="B2468" s="3" t="s">
        <v>1135</v>
      </c>
      <c r="C2468">
        <f>IMAGE("https://raw.githubusercontent.com/stautonico/tcg-livingdex/main/images/823/1.png", 2)</f>
        <v>0</v>
      </c>
      <c r="D2468">
        <f>IMAGE("https://raw.githubusercontent.com/stautonico/tcg-livingdex/main/images/823/2.png", 2)</f>
        <v>0</v>
      </c>
      <c r="E2468">
        <f>IMAGE("https://raw.githubusercontent.com/stautonico/tcg-livingdex/main/images/823/3.png", 2)</f>
        <v>0</v>
      </c>
      <c r="F2468">
        <f>IMAGE("https://raw.githubusercontent.com/stautonico/tcg-livingdex/main/images/823/4.png", 2)</f>
        <v>0</v>
      </c>
      <c r="G2468" t="s">
        <v>9</v>
      </c>
    </row>
    <row r="2469" spans="1:7">
      <c r="C2469" s="4" t="s">
        <v>1136</v>
      </c>
      <c r="D2469" s="4" t="s">
        <v>1137</v>
      </c>
      <c r="E2469" s="4" t="s">
        <v>1138</v>
      </c>
      <c r="F2469" s="4" t="s">
        <v>1139</v>
      </c>
    </row>
    <row r="2471" spans="1:7" ht="264" customHeight="1">
      <c r="A2471" s="2">
        <v>824</v>
      </c>
      <c r="B2471" s="3" t="s">
        <v>1140</v>
      </c>
      <c r="C2471">
        <f>IMAGE("https://raw.githubusercontent.com/stautonico/tcg-livingdex/main/images/824/1.png", 2)</f>
        <v>0</v>
      </c>
      <c r="D2471">
        <f>IMAGE("https://raw.githubusercontent.com/stautonico/tcg-livingdex/main/images/824/2.png", 2)</f>
        <v>0</v>
      </c>
      <c r="E2471">
        <f>IMAGE("https://raw.githubusercontent.com/stautonico/tcg-livingdex/main/images/824/3.png", 2)</f>
        <v>0</v>
      </c>
      <c r="F2471">
        <f>IMAGE("https://raw.githubusercontent.com/stautonico/tcg-livingdex/main/images/824/4.png", 2)</f>
        <v>0</v>
      </c>
      <c r="G2471" t="s">
        <v>9</v>
      </c>
    </row>
    <row r="2472" spans="1:7">
      <c r="C2472" s="4" t="s">
        <v>1141</v>
      </c>
      <c r="D2472" s="4" t="s">
        <v>1142</v>
      </c>
      <c r="E2472" s="4" t="s">
        <v>1143</v>
      </c>
      <c r="F2472" s="4" t="s">
        <v>1144</v>
      </c>
    </row>
    <row r="2474" spans="1:7" ht="264" customHeight="1">
      <c r="A2474" s="2">
        <v>825</v>
      </c>
      <c r="B2474" s="3" t="s">
        <v>1145</v>
      </c>
      <c r="C2474">
        <f>IMAGE("https://raw.githubusercontent.com/stautonico/tcg-livingdex/main/images/825/1.png", 2)</f>
        <v>0</v>
      </c>
      <c r="G2474" t="s">
        <v>9</v>
      </c>
    </row>
    <row r="2475" spans="1:7">
      <c r="C2475" s="4" t="s">
        <v>8</v>
      </c>
    </row>
    <row r="2477" spans="1:7" ht="264" customHeight="1">
      <c r="A2477" s="2">
        <v>826</v>
      </c>
      <c r="B2477" s="3" t="s">
        <v>1146</v>
      </c>
      <c r="C2477">
        <f>IMAGE("https://raw.githubusercontent.com/stautonico/tcg-livingdex/main/images/826/1.png", 2)</f>
        <v>0</v>
      </c>
      <c r="G2477" t="s">
        <v>9</v>
      </c>
    </row>
    <row r="2478" spans="1:7">
      <c r="C2478" s="4" t="s">
        <v>8</v>
      </c>
    </row>
    <row r="2480" spans="1:7" ht="264" customHeight="1">
      <c r="A2480" s="2">
        <v>827</v>
      </c>
      <c r="B2480" s="3" t="s">
        <v>1147</v>
      </c>
      <c r="C2480">
        <f>IMAGE("https://raw.githubusercontent.com/stautonico/tcg-livingdex/main/images/827/1.png", 2)</f>
        <v>0</v>
      </c>
      <c r="G2480" t="s">
        <v>9</v>
      </c>
    </row>
    <row r="2481" spans="1:7">
      <c r="C2481" s="4" t="s">
        <v>8</v>
      </c>
    </row>
    <row r="2483" spans="1:7" ht="264" customHeight="1">
      <c r="A2483" s="2">
        <v>828</v>
      </c>
      <c r="B2483" s="3" t="s">
        <v>1148</v>
      </c>
      <c r="C2483">
        <f>IMAGE("https://raw.githubusercontent.com/stautonico/tcg-livingdex/main/images/828/1.png", 2)</f>
        <v>0</v>
      </c>
      <c r="G2483" t="s">
        <v>9</v>
      </c>
    </row>
    <row r="2484" spans="1:7">
      <c r="C2484" s="4" t="s">
        <v>8</v>
      </c>
    </row>
    <row r="2486" spans="1:7" ht="264" customHeight="1">
      <c r="A2486" s="2">
        <v>829</v>
      </c>
      <c r="B2486" s="3" t="s">
        <v>1149</v>
      </c>
      <c r="C2486">
        <f>IMAGE("https://raw.githubusercontent.com/stautonico/tcg-livingdex/main/images/829/1.png", 2)</f>
        <v>0</v>
      </c>
      <c r="G2486" t="s">
        <v>9</v>
      </c>
    </row>
    <row r="2487" spans="1:7">
      <c r="C2487" s="4" t="s">
        <v>8</v>
      </c>
    </row>
    <row r="2489" spans="1:7" ht="264" customHeight="1">
      <c r="A2489" s="2">
        <v>830</v>
      </c>
      <c r="B2489" s="3" t="s">
        <v>1150</v>
      </c>
      <c r="C2489">
        <f>IMAGE("https://raw.githubusercontent.com/stautonico/tcg-livingdex/main/images/830/1.png", 2)</f>
        <v>0</v>
      </c>
      <c r="D2489">
        <f>IMAGE("https://raw.githubusercontent.com/stautonico/tcg-livingdex/main/images/830/2.png", 2)</f>
        <v>0</v>
      </c>
      <c r="E2489">
        <f>IMAGE("https://raw.githubusercontent.com/stautonico/tcg-livingdex/main/images/830/3.png", 2)</f>
        <v>0</v>
      </c>
      <c r="F2489">
        <f>IMAGE("https://raw.githubusercontent.com/stautonico/tcg-livingdex/main/images/830/4.png", 2)</f>
        <v>0</v>
      </c>
      <c r="G2489" t="s">
        <v>9</v>
      </c>
    </row>
    <row r="2490" spans="1:7">
      <c r="C2490" s="4" t="s">
        <v>1151</v>
      </c>
      <c r="D2490" s="4" t="s">
        <v>1152</v>
      </c>
      <c r="E2490" s="4" t="s">
        <v>1153</v>
      </c>
      <c r="F2490" s="4" t="s">
        <v>1154</v>
      </c>
    </row>
    <row r="2492" spans="1:7" ht="264" customHeight="1">
      <c r="A2492" s="2">
        <v>831</v>
      </c>
      <c r="B2492" s="3" t="s">
        <v>1155</v>
      </c>
      <c r="C2492">
        <f>IMAGE("https://raw.githubusercontent.com/stautonico/tcg-livingdex/main/images/831/1.png", 2)</f>
        <v>0</v>
      </c>
      <c r="G2492" t="s">
        <v>9</v>
      </c>
    </row>
    <row r="2493" spans="1:7">
      <c r="C2493" s="4" t="s">
        <v>8</v>
      </c>
    </row>
    <row r="2495" spans="1:7" ht="264" customHeight="1">
      <c r="A2495" s="2">
        <v>832</v>
      </c>
      <c r="B2495" s="3" t="s">
        <v>1156</v>
      </c>
      <c r="C2495">
        <f>IMAGE("https://raw.githubusercontent.com/stautonico/tcg-livingdex/main/images/832/1.png", 2)</f>
        <v>0</v>
      </c>
      <c r="G2495" t="s">
        <v>9</v>
      </c>
    </row>
    <row r="2496" spans="1:7">
      <c r="C2496" s="4" t="s">
        <v>8</v>
      </c>
    </row>
    <row r="2498" spans="1:7" ht="264" customHeight="1">
      <c r="A2498" s="2">
        <v>833</v>
      </c>
      <c r="B2498" s="3" t="s">
        <v>1157</v>
      </c>
      <c r="C2498">
        <f>IMAGE("https://raw.githubusercontent.com/stautonico/tcg-livingdex/main/images/833/1.png", 2)</f>
        <v>0</v>
      </c>
      <c r="G2498" t="s">
        <v>9</v>
      </c>
    </row>
    <row r="2499" spans="1:7">
      <c r="C2499" s="4" t="s">
        <v>8</v>
      </c>
    </row>
    <row r="2501" spans="1:7" ht="264" customHeight="1">
      <c r="A2501" s="2">
        <v>834</v>
      </c>
      <c r="B2501" s="3" t="s">
        <v>1158</v>
      </c>
      <c r="C2501">
        <f>IMAGE("https://raw.githubusercontent.com/stautonico/tcg-livingdex/main/images/834/1.png", 2)</f>
        <v>0</v>
      </c>
      <c r="D2501">
        <f>IMAGE("https://raw.githubusercontent.com/stautonico/tcg-livingdex/main/images/834/2.png", 2)</f>
        <v>0</v>
      </c>
      <c r="E2501">
        <f>IMAGE("https://raw.githubusercontent.com/stautonico/tcg-livingdex/main/images/834/3.png", 2)</f>
        <v>0</v>
      </c>
      <c r="F2501">
        <f>IMAGE("https://raw.githubusercontent.com/stautonico/tcg-livingdex/main/images/834/4.png", 2)</f>
        <v>0</v>
      </c>
      <c r="G2501" t="s">
        <v>9</v>
      </c>
    </row>
    <row r="2502" spans="1:7">
      <c r="C2502" s="4" t="s">
        <v>1159</v>
      </c>
      <c r="D2502" s="4" t="s">
        <v>1160</v>
      </c>
      <c r="E2502" s="4" t="s">
        <v>1161</v>
      </c>
      <c r="F2502" s="4" t="s">
        <v>1162</v>
      </c>
    </row>
    <row r="2504" spans="1:7" ht="264" customHeight="1">
      <c r="A2504" s="2">
        <v>835</v>
      </c>
      <c r="B2504" s="3" t="s">
        <v>1163</v>
      </c>
      <c r="C2504">
        <f>IMAGE("https://raw.githubusercontent.com/stautonico/tcg-livingdex/main/images/835/1.png", 2)</f>
        <v>0</v>
      </c>
      <c r="G2504" t="s">
        <v>9</v>
      </c>
    </row>
    <row r="2505" spans="1:7">
      <c r="C2505" s="4" t="s">
        <v>8</v>
      </c>
    </row>
    <row r="2507" spans="1:7" ht="264" customHeight="1">
      <c r="A2507" s="2">
        <v>836</v>
      </c>
      <c r="B2507" s="3" t="s">
        <v>1164</v>
      </c>
      <c r="C2507">
        <f>IMAGE("https://raw.githubusercontent.com/stautonico/tcg-livingdex/main/images/836/1.png", 2)</f>
        <v>0</v>
      </c>
      <c r="G2507" t="s">
        <v>9</v>
      </c>
    </row>
    <row r="2508" spans="1:7">
      <c r="C2508" s="4" t="s">
        <v>8</v>
      </c>
    </row>
    <row r="2510" spans="1:7" ht="264" customHeight="1">
      <c r="A2510" s="2">
        <v>837</v>
      </c>
      <c r="B2510" s="3" t="s">
        <v>1165</v>
      </c>
      <c r="C2510">
        <f>IMAGE("https://raw.githubusercontent.com/stautonico/tcg-livingdex/main/images/837/1.png", 2)</f>
        <v>0</v>
      </c>
      <c r="G2510" t="s">
        <v>9</v>
      </c>
    </row>
    <row r="2511" spans="1:7">
      <c r="C2511" s="4" t="s">
        <v>8</v>
      </c>
    </row>
    <row r="2513" spans="1:7" ht="264" customHeight="1">
      <c r="A2513" s="2">
        <v>838</v>
      </c>
      <c r="B2513" s="3" t="s">
        <v>1166</v>
      </c>
      <c r="C2513">
        <f>IMAGE("https://raw.githubusercontent.com/stautonico/tcg-livingdex/main/images/838/1.png", 2)</f>
        <v>0</v>
      </c>
      <c r="D2513">
        <f>IMAGE("https://raw.githubusercontent.com/stautonico/tcg-livingdex/main/images/838/2.png", 2)</f>
        <v>0</v>
      </c>
      <c r="E2513">
        <f>IMAGE("https://raw.githubusercontent.com/stautonico/tcg-livingdex/main/images/838/3.png", 2)</f>
        <v>0</v>
      </c>
      <c r="F2513">
        <f>IMAGE("https://raw.githubusercontent.com/stautonico/tcg-livingdex/main/images/838/4.png", 2)</f>
        <v>0</v>
      </c>
      <c r="G2513" t="s">
        <v>9</v>
      </c>
    </row>
    <row r="2514" spans="1:7">
      <c r="C2514" s="4" t="s">
        <v>1167</v>
      </c>
      <c r="D2514" s="4" t="s">
        <v>1168</v>
      </c>
      <c r="E2514" s="4" t="s">
        <v>1169</v>
      </c>
      <c r="F2514" s="4" t="s">
        <v>1170</v>
      </c>
    </row>
    <row r="2516" spans="1:7" ht="264" customHeight="1">
      <c r="A2516" s="2">
        <v>839</v>
      </c>
      <c r="B2516" s="3" t="s">
        <v>1171</v>
      </c>
      <c r="C2516">
        <f>IMAGE("https://raw.githubusercontent.com/stautonico/tcg-livingdex/main/images/839/1.png", 2)</f>
        <v>0</v>
      </c>
      <c r="D2516">
        <f>IMAGE("https://raw.githubusercontent.com/stautonico/tcg-livingdex/main/images/839/2.png", 2)</f>
        <v>0</v>
      </c>
      <c r="E2516">
        <f>IMAGE("https://raw.githubusercontent.com/stautonico/tcg-livingdex/main/images/839/3.png", 2)</f>
        <v>0</v>
      </c>
      <c r="F2516">
        <f>IMAGE("https://raw.githubusercontent.com/stautonico/tcg-livingdex/main/images/839/4.png", 2)</f>
        <v>0</v>
      </c>
      <c r="G2516" t="s">
        <v>9</v>
      </c>
    </row>
    <row r="2517" spans="1:7">
      <c r="C2517" s="4" t="s">
        <v>1172</v>
      </c>
      <c r="D2517" s="4" t="s">
        <v>1173</v>
      </c>
      <c r="E2517" s="4" t="s">
        <v>1174</v>
      </c>
      <c r="F2517" s="4" t="s">
        <v>1175</v>
      </c>
    </row>
    <row r="2519" spans="1:7" ht="264" customHeight="1">
      <c r="A2519" s="2">
        <v>840</v>
      </c>
      <c r="B2519" s="3" t="s">
        <v>1176</v>
      </c>
      <c r="C2519">
        <f>IMAGE("https://raw.githubusercontent.com/stautonico/tcg-livingdex/main/images/840/1.png", 2)</f>
        <v>0</v>
      </c>
      <c r="G2519" t="s">
        <v>9</v>
      </c>
    </row>
    <row r="2520" spans="1:7">
      <c r="C2520" s="4" t="s">
        <v>8</v>
      </c>
    </row>
    <row r="2522" spans="1:7" ht="264" customHeight="1">
      <c r="A2522" s="2">
        <v>841</v>
      </c>
      <c r="B2522" s="3" t="s">
        <v>1177</v>
      </c>
      <c r="C2522">
        <f>IMAGE("https://raw.githubusercontent.com/stautonico/tcg-livingdex/main/images/841/1.png", 2)</f>
        <v>0</v>
      </c>
      <c r="G2522" t="s">
        <v>9</v>
      </c>
    </row>
    <row r="2523" spans="1:7">
      <c r="C2523" s="4" t="s">
        <v>8</v>
      </c>
    </row>
    <row r="2525" spans="1:7" ht="264" customHeight="1">
      <c r="A2525" s="2">
        <v>842</v>
      </c>
      <c r="B2525" s="3" t="s">
        <v>1178</v>
      </c>
      <c r="C2525">
        <f>IMAGE("https://raw.githubusercontent.com/stautonico/tcg-livingdex/main/images/842/1.png", 2)</f>
        <v>0</v>
      </c>
      <c r="G2525" t="s">
        <v>9</v>
      </c>
    </row>
    <row r="2526" spans="1:7">
      <c r="C2526" s="4" t="s">
        <v>8</v>
      </c>
    </row>
    <row r="2528" spans="1:7" ht="264" customHeight="1">
      <c r="A2528" s="2">
        <v>843</v>
      </c>
      <c r="B2528" s="3" t="s">
        <v>1179</v>
      </c>
      <c r="C2528">
        <f>IMAGE("https://raw.githubusercontent.com/stautonico/tcg-livingdex/main/images/843/1.png", 2)</f>
        <v>0</v>
      </c>
      <c r="G2528" t="s">
        <v>9</v>
      </c>
    </row>
    <row r="2529" spans="1:7">
      <c r="C2529" s="4" t="s">
        <v>8</v>
      </c>
    </row>
    <row r="2531" spans="1:7" ht="264" customHeight="1">
      <c r="A2531" s="2">
        <v>844</v>
      </c>
      <c r="B2531" s="3" t="s">
        <v>1180</v>
      </c>
      <c r="C2531">
        <f>IMAGE("https://raw.githubusercontent.com/stautonico/tcg-livingdex/main/images/844/1.png", 2)</f>
        <v>0</v>
      </c>
      <c r="G2531" t="s">
        <v>9</v>
      </c>
    </row>
    <row r="2532" spans="1:7">
      <c r="C2532" s="4" t="s">
        <v>8</v>
      </c>
    </row>
    <row r="2534" spans="1:7" ht="264" customHeight="1">
      <c r="A2534" s="2">
        <v>845</v>
      </c>
      <c r="B2534" s="3" t="s">
        <v>1181</v>
      </c>
      <c r="C2534">
        <f>IMAGE("https://raw.githubusercontent.com/stautonico/tcg-livingdex/main/images/845/1.png", 2)</f>
        <v>0</v>
      </c>
      <c r="G2534" t="s">
        <v>9</v>
      </c>
    </row>
    <row r="2535" spans="1:7">
      <c r="C2535" s="4" t="s">
        <v>8</v>
      </c>
    </row>
    <row r="2537" spans="1:7" ht="264" customHeight="1">
      <c r="A2537" s="2">
        <v>846</v>
      </c>
      <c r="B2537" s="3" t="s">
        <v>1182</v>
      </c>
      <c r="C2537">
        <f>IMAGE("https://raw.githubusercontent.com/stautonico/tcg-livingdex/main/images/846/1.png", 2)</f>
        <v>0</v>
      </c>
      <c r="G2537" t="s">
        <v>9</v>
      </c>
    </row>
    <row r="2538" spans="1:7">
      <c r="C2538" s="4" t="s">
        <v>8</v>
      </c>
    </row>
    <row r="2540" spans="1:7" ht="264" customHeight="1">
      <c r="A2540" s="2">
        <v>847</v>
      </c>
      <c r="B2540" s="3" t="s">
        <v>1183</v>
      </c>
      <c r="C2540">
        <f>IMAGE("https://raw.githubusercontent.com/stautonico/tcg-livingdex/main/images/847/1.png", 2)</f>
        <v>0</v>
      </c>
      <c r="G2540" t="s">
        <v>9</v>
      </c>
    </row>
    <row r="2541" spans="1:7">
      <c r="C2541" s="4" t="s">
        <v>8</v>
      </c>
    </row>
    <row r="2543" spans="1:7" ht="264" customHeight="1">
      <c r="A2543" s="2">
        <v>848</v>
      </c>
      <c r="B2543" s="3" t="s">
        <v>1184</v>
      </c>
      <c r="C2543">
        <f>IMAGE("https://raw.githubusercontent.com/stautonico/tcg-livingdex/main/images/848/1.png", 2)</f>
        <v>0</v>
      </c>
      <c r="G2543" t="s">
        <v>9</v>
      </c>
    </row>
    <row r="2544" spans="1:7">
      <c r="C2544" s="4" t="s">
        <v>8</v>
      </c>
    </row>
    <row r="2546" spans="1:7" ht="264" customHeight="1">
      <c r="A2546" s="2">
        <v>849</v>
      </c>
      <c r="B2546" s="3" t="s">
        <v>1185</v>
      </c>
      <c r="C2546">
        <f>IMAGE("https://raw.githubusercontent.com/stautonico/tcg-livingdex/main/images/849/1.png", 2)</f>
        <v>0</v>
      </c>
      <c r="G2546" t="s">
        <v>9</v>
      </c>
    </row>
    <row r="2547" spans="1:7">
      <c r="C2547" s="4" t="s">
        <v>8</v>
      </c>
    </row>
    <row r="2549" spans="1:7" ht="264" customHeight="1">
      <c r="A2549" s="2">
        <v>850</v>
      </c>
      <c r="B2549" s="3" t="s">
        <v>1186</v>
      </c>
      <c r="C2549">
        <f>IMAGE("https://raw.githubusercontent.com/stautonico/tcg-livingdex/main/images/850/1.png", 2)</f>
        <v>0</v>
      </c>
      <c r="G2549" t="s">
        <v>9</v>
      </c>
    </row>
    <row r="2550" spans="1:7">
      <c r="C2550" s="4" t="s">
        <v>8</v>
      </c>
    </row>
    <row r="2552" spans="1:7" ht="264" customHeight="1">
      <c r="A2552" s="2">
        <v>851</v>
      </c>
      <c r="B2552" s="3" t="s">
        <v>1187</v>
      </c>
      <c r="C2552">
        <f>IMAGE("https://raw.githubusercontent.com/stautonico/tcg-livingdex/main/images/851/1.png", 2)</f>
        <v>0</v>
      </c>
      <c r="G2552" t="s">
        <v>9</v>
      </c>
    </row>
    <row r="2553" spans="1:7">
      <c r="C2553" s="4" t="s">
        <v>8</v>
      </c>
    </row>
    <row r="2555" spans="1:7" ht="264" customHeight="1">
      <c r="A2555" s="2">
        <v>852</v>
      </c>
      <c r="B2555" s="3" t="s">
        <v>1188</v>
      </c>
      <c r="C2555">
        <f>IMAGE("https://raw.githubusercontent.com/stautonico/tcg-livingdex/main/images/852/1.png", 2)</f>
        <v>0</v>
      </c>
      <c r="G2555" t="s">
        <v>9</v>
      </c>
    </row>
    <row r="2556" spans="1:7">
      <c r="C2556" s="4" t="s">
        <v>8</v>
      </c>
    </row>
    <row r="2558" spans="1:7" ht="264" customHeight="1">
      <c r="A2558" s="2">
        <v>853</v>
      </c>
      <c r="B2558" s="3" t="s">
        <v>1189</v>
      </c>
      <c r="C2558">
        <f>IMAGE("https://raw.githubusercontent.com/stautonico/tcg-livingdex/main/images/853/1.png", 2)</f>
        <v>0</v>
      </c>
      <c r="D2558">
        <f>IMAGE("https://raw.githubusercontent.com/stautonico/tcg-livingdex/main/images/853/2.png", 2)</f>
        <v>0</v>
      </c>
      <c r="E2558">
        <f>IMAGE("https://raw.githubusercontent.com/stautonico/tcg-livingdex/main/images/853/3.png", 2)</f>
        <v>0</v>
      </c>
      <c r="F2558">
        <f>IMAGE("https://raw.githubusercontent.com/stautonico/tcg-livingdex/main/images/853/4.png", 2)</f>
        <v>0</v>
      </c>
      <c r="G2558" t="s">
        <v>9</v>
      </c>
    </row>
    <row r="2559" spans="1:7">
      <c r="C2559" s="4" t="s">
        <v>1190</v>
      </c>
      <c r="D2559" s="4" t="s">
        <v>1191</v>
      </c>
      <c r="E2559" s="4" t="s">
        <v>1192</v>
      </c>
      <c r="F2559" s="4" t="s">
        <v>1193</v>
      </c>
    </row>
    <row r="2561" spans="1:7" ht="264" customHeight="1">
      <c r="A2561" s="2">
        <v>854</v>
      </c>
      <c r="B2561" s="3" t="s">
        <v>1194</v>
      </c>
      <c r="C2561">
        <f>IMAGE("https://raw.githubusercontent.com/stautonico/tcg-livingdex/main/images/854/1.png", 2)</f>
        <v>0</v>
      </c>
      <c r="G2561" t="s">
        <v>9</v>
      </c>
    </row>
    <row r="2562" spans="1:7">
      <c r="C2562" s="4" t="s">
        <v>8</v>
      </c>
    </row>
    <row r="2564" spans="1:7" ht="264" customHeight="1">
      <c r="A2564" s="2">
        <v>855</v>
      </c>
      <c r="B2564" s="3" t="s">
        <v>1195</v>
      </c>
      <c r="C2564">
        <f>IMAGE("https://raw.githubusercontent.com/stautonico/tcg-livingdex/main/images/855/1.png", 2)</f>
        <v>0</v>
      </c>
      <c r="G2564" t="s">
        <v>9</v>
      </c>
    </row>
    <row r="2565" spans="1:7">
      <c r="C2565" s="4" t="s">
        <v>8</v>
      </c>
    </row>
    <row r="2567" spans="1:7" ht="264" customHeight="1">
      <c r="A2567" s="2">
        <v>856</v>
      </c>
      <c r="B2567" s="3" t="s">
        <v>1196</v>
      </c>
      <c r="C2567">
        <f>IMAGE("https://raw.githubusercontent.com/stautonico/tcg-livingdex/main/images/856/1.png", 2)</f>
        <v>0</v>
      </c>
      <c r="G2567" t="s">
        <v>9</v>
      </c>
    </row>
    <row r="2568" spans="1:7">
      <c r="C2568" s="4" t="s">
        <v>8</v>
      </c>
    </row>
    <row r="2570" spans="1:7" ht="264" customHeight="1">
      <c r="A2570" s="2">
        <v>857</v>
      </c>
      <c r="B2570" s="3" t="s">
        <v>1197</v>
      </c>
      <c r="C2570">
        <f>IMAGE("https://raw.githubusercontent.com/stautonico/tcg-livingdex/main/images/857/1.png", 2)</f>
        <v>0</v>
      </c>
      <c r="G2570" t="s">
        <v>9</v>
      </c>
    </row>
    <row r="2571" spans="1:7">
      <c r="C2571" s="4" t="s">
        <v>8</v>
      </c>
    </row>
    <row r="2573" spans="1:7" ht="264" customHeight="1">
      <c r="A2573" s="2">
        <v>858</v>
      </c>
      <c r="B2573" s="3" t="s">
        <v>1198</v>
      </c>
      <c r="C2573">
        <f>IMAGE("https://raw.githubusercontent.com/stautonico/tcg-livingdex/main/images/858/1.png", 2)</f>
        <v>0</v>
      </c>
      <c r="G2573" t="s">
        <v>9</v>
      </c>
    </row>
    <row r="2574" spans="1:7">
      <c r="C2574" s="4" t="s">
        <v>8</v>
      </c>
    </row>
    <row r="2576" spans="1:7" ht="264" customHeight="1">
      <c r="A2576" s="2">
        <v>859</v>
      </c>
      <c r="B2576" s="3" t="s">
        <v>1199</v>
      </c>
      <c r="C2576">
        <f>IMAGE("https://raw.githubusercontent.com/stautonico/tcg-livingdex/main/images/859/1.png", 2)</f>
        <v>0</v>
      </c>
      <c r="G2576" t="s">
        <v>9</v>
      </c>
    </row>
    <row r="2577" spans="1:7">
      <c r="C2577" s="4" t="s">
        <v>8</v>
      </c>
    </row>
    <row r="2579" spans="1:7" ht="264" customHeight="1">
      <c r="A2579" s="2">
        <v>860</v>
      </c>
      <c r="B2579" s="3" t="s">
        <v>1200</v>
      </c>
      <c r="C2579">
        <f>IMAGE("https://raw.githubusercontent.com/stautonico/tcg-livingdex/main/images/860/1.png", 2)</f>
        <v>0</v>
      </c>
      <c r="G2579" t="s">
        <v>9</v>
      </c>
    </row>
    <row r="2580" spans="1:7">
      <c r="C2580" s="4" t="s">
        <v>8</v>
      </c>
    </row>
    <row r="2582" spans="1:7" ht="264" customHeight="1">
      <c r="A2582" s="2">
        <v>861</v>
      </c>
      <c r="B2582" s="3" t="s">
        <v>1201</v>
      </c>
      <c r="C2582">
        <f>IMAGE("https://raw.githubusercontent.com/stautonico/tcg-livingdex/main/images/861/1.png", 2)</f>
        <v>0</v>
      </c>
      <c r="G2582" t="s">
        <v>9</v>
      </c>
    </row>
    <row r="2583" spans="1:7">
      <c r="C2583" s="4" t="s">
        <v>8</v>
      </c>
    </row>
    <row r="2585" spans="1:7" ht="264" customHeight="1">
      <c r="A2585" s="2">
        <v>862</v>
      </c>
      <c r="B2585" s="3" t="s">
        <v>1202</v>
      </c>
      <c r="C2585">
        <f>IMAGE("https://raw.githubusercontent.com/stautonico/tcg-livingdex/main/images/862/1.png", 2)</f>
        <v>0</v>
      </c>
      <c r="D2585">
        <f>IMAGE("https://raw.githubusercontent.com/stautonico/tcg-livingdex/main/images/862/2.png", 2)</f>
        <v>0</v>
      </c>
      <c r="E2585">
        <f>IMAGE("https://raw.githubusercontent.com/stautonico/tcg-livingdex/main/images/862/3.png", 2)</f>
        <v>0</v>
      </c>
      <c r="G2585" t="s">
        <v>9</v>
      </c>
    </row>
    <row r="2586" spans="1:7">
      <c r="C2586" s="4" t="s">
        <v>1203</v>
      </c>
      <c r="D2586" s="4" t="s">
        <v>1204</v>
      </c>
      <c r="E2586" s="4" t="s">
        <v>1205</v>
      </c>
    </row>
    <row r="2588" spans="1:7" ht="264" customHeight="1">
      <c r="A2588" s="2">
        <v>863</v>
      </c>
      <c r="B2588" s="3" t="s">
        <v>1206</v>
      </c>
      <c r="C2588">
        <f>IMAGE("https://raw.githubusercontent.com/stautonico/tcg-livingdex/main/images/863/1.png", 2)</f>
        <v>0</v>
      </c>
      <c r="D2588">
        <f>IMAGE("https://raw.githubusercontent.com/stautonico/tcg-livingdex/main/images/863/2.png", 2)</f>
        <v>0</v>
      </c>
      <c r="E2588">
        <f>IMAGE("https://raw.githubusercontent.com/stautonico/tcg-livingdex/main/images/863/3.png", 2)</f>
        <v>0</v>
      </c>
      <c r="F2588">
        <f>IMAGE("https://raw.githubusercontent.com/stautonico/tcg-livingdex/main/images/863/4.png", 2)</f>
        <v>0</v>
      </c>
      <c r="G2588" t="s">
        <v>9</v>
      </c>
    </row>
    <row r="2589" spans="1:7">
      <c r="C2589" s="4" t="s">
        <v>1207</v>
      </c>
      <c r="D2589" s="4" t="s">
        <v>1208</v>
      </c>
      <c r="E2589" s="4" t="s">
        <v>1209</v>
      </c>
      <c r="F2589" s="4" t="s">
        <v>1210</v>
      </c>
    </row>
    <row r="2591" spans="1:7" ht="264" customHeight="1">
      <c r="A2591" s="2">
        <v>864</v>
      </c>
      <c r="B2591" s="3" t="s">
        <v>1211</v>
      </c>
      <c r="C2591">
        <f>IMAGE("https://raw.githubusercontent.com/stautonico/tcg-livingdex/main/images/864/1.png", 2)</f>
        <v>0</v>
      </c>
      <c r="G2591" t="s">
        <v>9</v>
      </c>
    </row>
    <row r="2592" spans="1:7">
      <c r="C2592" s="4" t="s">
        <v>8</v>
      </c>
    </row>
    <row r="2594" spans="1:7" ht="264" customHeight="1">
      <c r="A2594" s="2">
        <v>865</v>
      </c>
      <c r="B2594" s="3" t="s">
        <v>1212</v>
      </c>
      <c r="C2594">
        <f>IMAGE("https://raw.githubusercontent.com/stautonico/tcg-livingdex/main/images/865/1.png", 2)</f>
        <v>0</v>
      </c>
      <c r="D2594">
        <f>IMAGE("https://raw.githubusercontent.com/stautonico/tcg-livingdex/main/images/865/2.png", 2)</f>
        <v>0</v>
      </c>
      <c r="E2594">
        <f>IMAGE("https://raw.githubusercontent.com/stautonico/tcg-livingdex/main/images/865/3.png", 2)</f>
        <v>0</v>
      </c>
      <c r="F2594">
        <f>IMAGE("https://raw.githubusercontent.com/stautonico/tcg-livingdex/main/images/865/4.png", 2)</f>
        <v>0</v>
      </c>
      <c r="G2594" t="s">
        <v>9</v>
      </c>
    </row>
    <row r="2595" spans="1:7">
      <c r="C2595" s="4" t="s">
        <v>1213</v>
      </c>
      <c r="D2595" s="4" t="s">
        <v>1214</v>
      </c>
      <c r="E2595" s="4" t="s">
        <v>1215</v>
      </c>
      <c r="F2595" s="4" t="s">
        <v>1216</v>
      </c>
    </row>
    <row r="2597" spans="1:7" ht="264" customHeight="1">
      <c r="A2597" s="2">
        <v>866</v>
      </c>
      <c r="B2597" s="3" t="s">
        <v>1217</v>
      </c>
      <c r="C2597">
        <f>IMAGE("https://raw.githubusercontent.com/stautonico/tcg-livingdex/main/images/866/1.png", 2)</f>
        <v>0</v>
      </c>
      <c r="G2597" t="s">
        <v>9</v>
      </c>
    </row>
    <row r="2598" spans="1:7">
      <c r="C2598" s="4" t="s">
        <v>8</v>
      </c>
    </row>
    <row r="2600" spans="1:7" ht="264" customHeight="1">
      <c r="A2600" s="2">
        <v>867</v>
      </c>
      <c r="B2600" s="3" t="s">
        <v>1218</v>
      </c>
      <c r="C2600">
        <f>IMAGE("https://raw.githubusercontent.com/stautonico/tcg-livingdex/main/images/867/1.png", 2)</f>
        <v>0</v>
      </c>
      <c r="G2600" t="s">
        <v>9</v>
      </c>
    </row>
    <row r="2601" spans="1:7">
      <c r="C2601" s="4" t="s">
        <v>8</v>
      </c>
    </row>
    <row r="2603" spans="1:7" ht="264" customHeight="1">
      <c r="A2603" s="2">
        <v>868</v>
      </c>
      <c r="B2603" s="3" t="s">
        <v>1219</v>
      </c>
      <c r="C2603">
        <f>IMAGE("https://raw.githubusercontent.com/stautonico/tcg-livingdex/main/images/868/1.png", 2)</f>
        <v>0</v>
      </c>
      <c r="G2603" t="s">
        <v>9</v>
      </c>
    </row>
    <row r="2604" spans="1:7">
      <c r="C2604" s="4" t="s">
        <v>8</v>
      </c>
    </row>
    <row r="2606" spans="1:7" ht="264" customHeight="1">
      <c r="A2606" s="2">
        <v>869</v>
      </c>
      <c r="B2606" s="3" t="s">
        <v>1220</v>
      </c>
      <c r="C2606">
        <f>IMAGE("https://raw.githubusercontent.com/stautonico/tcg-livingdex/main/images/869/1.png", 2)</f>
        <v>0</v>
      </c>
      <c r="G2606" t="s">
        <v>9</v>
      </c>
    </row>
    <row r="2607" spans="1:7">
      <c r="C2607" s="4" t="s">
        <v>8</v>
      </c>
    </row>
    <row r="2609" spans="1:7" ht="264" customHeight="1">
      <c r="A2609" s="2">
        <v>870</v>
      </c>
      <c r="B2609" s="3" t="s">
        <v>1221</v>
      </c>
      <c r="C2609">
        <f>IMAGE("https://raw.githubusercontent.com/stautonico/tcg-livingdex/main/images/870/1.png", 2)</f>
        <v>0</v>
      </c>
      <c r="D2609">
        <f>IMAGE("https://raw.githubusercontent.com/stautonico/tcg-livingdex/main/images/870/2.png", 2)</f>
        <v>0</v>
      </c>
      <c r="E2609">
        <f>IMAGE("https://raw.githubusercontent.com/stautonico/tcg-livingdex/main/images/870/3.png", 2)</f>
        <v>0</v>
      </c>
      <c r="F2609">
        <f>IMAGE("https://raw.githubusercontent.com/stautonico/tcg-livingdex/main/images/870/4.png", 2)</f>
        <v>0</v>
      </c>
      <c r="G2609" t="s">
        <v>9</v>
      </c>
    </row>
    <row r="2610" spans="1:7">
      <c r="C2610" s="4" t="s">
        <v>1222</v>
      </c>
      <c r="D2610" s="4" t="s">
        <v>1223</v>
      </c>
      <c r="E2610" s="4" t="s">
        <v>1224</v>
      </c>
      <c r="F2610" s="4" t="s">
        <v>1225</v>
      </c>
    </row>
    <row r="2612" spans="1:7" ht="264" customHeight="1">
      <c r="A2612" s="2">
        <v>871</v>
      </c>
      <c r="B2612" s="3" t="s">
        <v>1226</v>
      </c>
      <c r="C2612">
        <f>IMAGE("https://raw.githubusercontent.com/stautonico/tcg-livingdex/main/images/871/1.png", 2)</f>
        <v>0</v>
      </c>
      <c r="G2612" t="s">
        <v>9</v>
      </c>
    </row>
    <row r="2613" spans="1:7">
      <c r="C2613" s="4" t="s">
        <v>8</v>
      </c>
    </row>
    <row r="2615" spans="1:7" ht="264" customHeight="1">
      <c r="A2615" s="2">
        <v>872</v>
      </c>
      <c r="B2615" s="3" t="s">
        <v>1227</v>
      </c>
      <c r="C2615">
        <f>IMAGE("https://raw.githubusercontent.com/stautonico/tcg-livingdex/main/images/872/1.png", 2)</f>
        <v>0</v>
      </c>
      <c r="G2615" t="s">
        <v>9</v>
      </c>
    </row>
    <row r="2616" spans="1:7">
      <c r="C2616" s="4" t="s">
        <v>8</v>
      </c>
    </row>
    <row r="2618" spans="1:7" ht="264" customHeight="1">
      <c r="A2618" s="2">
        <v>873</v>
      </c>
      <c r="B2618" s="3" t="s">
        <v>1228</v>
      </c>
      <c r="C2618">
        <f>IMAGE("https://raw.githubusercontent.com/stautonico/tcg-livingdex/main/images/873/1.png", 2)</f>
        <v>0</v>
      </c>
      <c r="G2618" t="s">
        <v>9</v>
      </c>
    </row>
    <row r="2619" spans="1:7">
      <c r="C2619" s="4" t="s">
        <v>8</v>
      </c>
    </row>
    <row r="2621" spans="1:7" ht="264" customHeight="1">
      <c r="A2621" s="2">
        <v>874</v>
      </c>
      <c r="B2621" s="3" t="s">
        <v>1229</v>
      </c>
      <c r="C2621">
        <f>IMAGE("https://raw.githubusercontent.com/stautonico/tcg-livingdex/main/images/874/1.png", 2)</f>
        <v>0</v>
      </c>
      <c r="G2621" t="s">
        <v>9</v>
      </c>
    </row>
    <row r="2622" spans="1:7">
      <c r="C2622" s="4" t="s">
        <v>8</v>
      </c>
    </row>
    <row r="2624" spans="1:7" ht="264" customHeight="1">
      <c r="A2624" s="2">
        <v>875</v>
      </c>
      <c r="B2624" s="3" t="s">
        <v>1230</v>
      </c>
      <c r="C2624">
        <f>IMAGE("https://raw.githubusercontent.com/stautonico/tcg-livingdex/main/images/875/1.png", 2)</f>
        <v>0</v>
      </c>
      <c r="D2624">
        <f>IMAGE("https://raw.githubusercontent.com/stautonico/tcg-livingdex/main/images/875/2.png", 2)</f>
        <v>0</v>
      </c>
      <c r="E2624">
        <f>IMAGE("https://raw.githubusercontent.com/stautonico/tcg-livingdex/main/images/875/3.png", 2)</f>
        <v>0</v>
      </c>
      <c r="F2624">
        <f>IMAGE("https://raw.githubusercontent.com/stautonico/tcg-livingdex/main/images/875/4.png", 2)</f>
        <v>0</v>
      </c>
      <c r="G2624" t="s">
        <v>9</v>
      </c>
    </row>
    <row r="2625" spans="1:7">
      <c r="C2625" s="4" t="s">
        <v>1231</v>
      </c>
      <c r="D2625" s="4" t="s">
        <v>1232</v>
      </c>
      <c r="E2625" s="4" t="s">
        <v>1233</v>
      </c>
      <c r="F2625" s="4" t="s">
        <v>1234</v>
      </c>
    </row>
    <row r="2627" spans="1:7" ht="264" customHeight="1">
      <c r="A2627" s="2">
        <v>876</v>
      </c>
      <c r="B2627" s="3" t="s">
        <v>1235</v>
      </c>
      <c r="C2627">
        <f>IMAGE("https://raw.githubusercontent.com/stautonico/tcg-livingdex/main/images/876/1.png", 2)</f>
        <v>0</v>
      </c>
      <c r="G2627" t="s">
        <v>9</v>
      </c>
    </row>
    <row r="2628" spans="1:7">
      <c r="C2628" s="4" t="s">
        <v>8</v>
      </c>
    </row>
    <row r="2630" spans="1:7" ht="264" customHeight="1">
      <c r="A2630" s="2">
        <v>877</v>
      </c>
      <c r="B2630" s="3" t="s">
        <v>1236</v>
      </c>
      <c r="C2630">
        <f>IMAGE("https://raw.githubusercontent.com/stautonico/tcg-livingdex/main/images/877/1.png", 2)</f>
        <v>0</v>
      </c>
      <c r="G2630" t="s">
        <v>9</v>
      </c>
    </row>
    <row r="2631" spans="1:7">
      <c r="C2631" s="4" t="s">
        <v>8</v>
      </c>
    </row>
    <row r="2633" spans="1:7" ht="264" customHeight="1">
      <c r="A2633" s="2">
        <v>878</v>
      </c>
      <c r="B2633" s="3" t="s">
        <v>1237</v>
      </c>
      <c r="C2633">
        <f>IMAGE("https://raw.githubusercontent.com/stautonico/tcg-livingdex/main/images/878/1.png", 2)</f>
        <v>0</v>
      </c>
      <c r="G2633" t="s">
        <v>9</v>
      </c>
    </row>
    <row r="2634" spans="1:7">
      <c r="C2634" s="4" t="s">
        <v>8</v>
      </c>
    </row>
    <row r="2636" spans="1:7" ht="264" customHeight="1">
      <c r="A2636" s="2">
        <v>879</v>
      </c>
      <c r="B2636" s="3" t="s">
        <v>1238</v>
      </c>
      <c r="C2636">
        <f>IMAGE("https://raw.githubusercontent.com/stautonico/tcg-livingdex/main/images/879/1.png", 2)</f>
        <v>0</v>
      </c>
      <c r="G2636" t="s">
        <v>9</v>
      </c>
    </row>
    <row r="2637" spans="1:7">
      <c r="C2637" s="4" t="s">
        <v>8</v>
      </c>
    </row>
    <row r="2639" spans="1:7" ht="264" customHeight="1">
      <c r="A2639" s="2">
        <v>880</v>
      </c>
      <c r="B2639" s="3" t="s">
        <v>1239</v>
      </c>
      <c r="C2639">
        <f>IMAGE("https://raw.githubusercontent.com/stautonico/tcg-livingdex/main/images/880/1.png", 2)</f>
        <v>0</v>
      </c>
      <c r="G2639" t="s">
        <v>9</v>
      </c>
    </row>
    <row r="2640" spans="1:7">
      <c r="C2640" s="4" t="s">
        <v>8</v>
      </c>
    </row>
    <row r="2642" spans="1:7" ht="264" customHeight="1">
      <c r="A2642" s="2">
        <v>881</v>
      </c>
      <c r="B2642" s="3" t="s">
        <v>1240</v>
      </c>
      <c r="C2642">
        <f>IMAGE("https://raw.githubusercontent.com/stautonico/tcg-livingdex/main/images/881/1.png", 2)</f>
        <v>0</v>
      </c>
      <c r="G2642" t="s">
        <v>9</v>
      </c>
    </row>
    <row r="2643" spans="1:7">
      <c r="C2643" s="4" t="s">
        <v>8</v>
      </c>
    </row>
    <row r="2645" spans="1:7" ht="264" customHeight="1">
      <c r="A2645" s="2">
        <v>882</v>
      </c>
      <c r="B2645" s="3" t="s">
        <v>1241</v>
      </c>
      <c r="C2645">
        <f>IMAGE("https://raw.githubusercontent.com/stautonico/tcg-livingdex/main/images/882/1.png", 2)</f>
        <v>0</v>
      </c>
      <c r="D2645">
        <f>IMAGE("https://raw.githubusercontent.com/stautonico/tcg-livingdex/main/images/882/2.png", 2)</f>
        <v>0</v>
      </c>
      <c r="E2645">
        <f>IMAGE("https://raw.githubusercontent.com/stautonico/tcg-livingdex/main/images/882/3.png", 2)</f>
        <v>0</v>
      </c>
      <c r="G2645" t="s">
        <v>9</v>
      </c>
    </row>
    <row r="2646" spans="1:7">
      <c r="C2646" s="4" t="s">
        <v>1242</v>
      </c>
      <c r="D2646" s="4" t="s">
        <v>1243</v>
      </c>
      <c r="E2646" s="4" t="s">
        <v>1244</v>
      </c>
    </row>
    <row r="2648" spans="1:7" ht="264" customHeight="1">
      <c r="A2648" s="2">
        <v>883</v>
      </c>
      <c r="B2648" s="3" t="s">
        <v>1245</v>
      </c>
      <c r="C2648">
        <f>IMAGE("https://raw.githubusercontent.com/stautonico/tcg-livingdex/main/images/883/1.png", 2)</f>
        <v>0</v>
      </c>
      <c r="G2648" t="s">
        <v>9</v>
      </c>
    </row>
    <row r="2649" spans="1:7">
      <c r="C2649" s="4" t="s">
        <v>8</v>
      </c>
    </row>
    <row r="2651" spans="1:7" ht="264" customHeight="1">
      <c r="A2651" s="2">
        <v>884</v>
      </c>
      <c r="B2651" s="3" t="s">
        <v>1246</v>
      </c>
      <c r="C2651">
        <f>IMAGE("https://raw.githubusercontent.com/stautonico/tcg-livingdex/main/images/884/1.png", 2)</f>
        <v>0</v>
      </c>
      <c r="G2651" t="s">
        <v>9</v>
      </c>
    </row>
    <row r="2652" spans="1:7">
      <c r="C2652" s="4" t="s">
        <v>8</v>
      </c>
    </row>
    <row r="2654" spans="1:7" ht="264" customHeight="1">
      <c r="A2654" s="2">
        <v>885</v>
      </c>
      <c r="B2654" s="3" t="s">
        <v>1247</v>
      </c>
      <c r="C2654">
        <f>IMAGE("https://raw.githubusercontent.com/stautonico/tcg-livingdex/main/images/885/1.png", 2)</f>
        <v>0</v>
      </c>
      <c r="G2654" t="s">
        <v>9</v>
      </c>
    </row>
    <row r="2655" spans="1:7">
      <c r="C2655" s="4" t="s">
        <v>8</v>
      </c>
    </row>
    <row r="2657" spans="1:7" ht="264" customHeight="1">
      <c r="A2657" s="2">
        <v>886</v>
      </c>
      <c r="B2657" s="3" t="s">
        <v>1248</v>
      </c>
      <c r="C2657">
        <f>IMAGE("https://raw.githubusercontent.com/stautonico/tcg-livingdex/main/images/886/1.png", 2)</f>
        <v>0</v>
      </c>
      <c r="G2657" t="s">
        <v>9</v>
      </c>
    </row>
    <row r="2658" spans="1:7">
      <c r="C2658" s="4" t="s">
        <v>8</v>
      </c>
    </row>
    <row r="2660" spans="1:7" ht="264" customHeight="1">
      <c r="A2660" s="2">
        <v>887</v>
      </c>
      <c r="B2660" s="3" t="s">
        <v>1249</v>
      </c>
      <c r="C2660">
        <f>IMAGE("https://raw.githubusercontent.com/stautonico/tcg-livingdex/main/images/887/1.png", 2)</f>
        <v>0</v>
      </c>
      <c r="G2660" t="s">
        <v>9</v>
      </c>
    </row>
    <row r="2661" spans="1:7">
      <c r="C2661" s="4" t="s">
        <v>8</v>
      </c>
    </row>
    <row r="2663" spans="1:7" ht="264" customHeight="1">
      <c r="A2663" s="2">
        <v>888</v>
      </c>
      <c r="B2663" s="3" t="s">
        <v>1250</v>
      </c>
      <c r="C2663">
        <f>IMAGE("https://raw.githubusercontent.com/stautonico/tcg-livingdex/main/images/888/1.png", 2)</f>
        <v>0</v>
      </c>
      <c r="G2663" t="s">
        <v>9</v>
      </c>
    </row>
    <row r="2664" spans="1:7">
      <c r="C2664" s="4" t="s">
        <v>8</v>
      </c>
    </row>
    <row r="2666" spans="1:7" ht="264" customHeight="1">
      <c r="A2666" s="2">
        <v>889</v>
      </c>
      <c r="B2666" s="3" t="s">
        <v>1251</v>
      </c>
      <c r="C2666">
        <f>IMAGE("https://raw.githubusercontent.com/stautonico/tcg-livingdex/main/images/889/1.png", 2)</f>
        <v>0</v>
      </c>
      <c r="G2666" t="s">
        <v>9</v>
      </c>
    </row>
    <row r="2667" spans="1:7">
      <c r="C2667" s="4" t="s">
        <v>8</v>
      </c>
    </row>
    <row r="2669" spans="1:7" ht="264" customHeight="1">
      <c r="A2669" s="2">
        <v>890</v>
      </c>
      <c r="B2669" s="3" t="s">
        <v>1252</v>
      </c>
      <c r="C2669">
        <f>IMAGE("https://raw.githubusercontent.com/stautonico/tcg-livingdex/main/images/890/1.png", 2)</f>
        <v>0</v>
      </c>
      <c r="G2669" t="s">
        <v>9</v>
      </c>
    </row>
    <row r="2670" spans="1:7">
      <c r="C2670" s="4" t="s">
        <v>8</v>
      </c>
    </row>
    <row r="2672" spans="1:7" ht="264" customHeight="1">
      <c r="A2672" s="2">
        <v>891</v>
      </c>
      <c r="B2672" s="3" t="s">
        <v>1253</v>
      </c>
      <c r="C2672">
        <f>IMAGE("https://raw.githubusercontent.com/stautonico/tcg-livingdex/main/images/891/1.png", 2)</f>
        <v>0</v>
      </c>
      <c r="G2672" t="s">
        <v>9</v>
      </c>
    </row>
    <row r="2673" spans="1:7">
      <c r="C2673" s="4" t="s">
        <v>1254</v>
      </c>
    </row>
    <row r="2675" spans="1:7" ht="264" customHeight="1">
      <c r="A2675" s="2">
        <v>892</v>
      </c>
      <c r="B2675" s="3" t="s">
        <v>1255</v>
      </c>
      <c r="C2675">
        <f>IMAGE("https://raw.githubusercontent.com/stautonico/tcg-livingdex/main/images/892/1.png", 2)</f>
        <v>0</v>
      </c>
      <c r="D2675">
        <f>IMAGE("https://raw.githubusercontent.com/stautonico/tcg-livingdex/main/images/892/2.png", 2)</f>
        <v>0</v>
      </c>
      <c r="E2675">
        <f>IMAGE("https://raw.githubusercontent.com/stautonico/tcg-livingdex/main/images/892/3.png", 2)</f>
        <v>0</v>
      </c>
      <c r="F2675">
        <f>IMAGE("https://raw.githubusercontent.com/stautonico/tcg-livingdex/main/images/892/4.png", 2)</f>
        <v>0</v>
      </c>
      <c r="G2675" t="s">
        <v>9</v>
      </c>
    </row>
    <row r="2676" spans="1:7">
      <c r="C2676" s="4" t="s">
        <v>1256</v>
      </c>
      <c r="D2676" s="4" t="s">
        <v>1257</v>
      </c>
      <c r="E2676" s="4" t="s">
        <v>1258</v>
      </c>
      <c r="F2676" s="4" t="s">
        <v>1259</v>
      </c>
    </row>
    <row r="2678" spans="1:7" ht="264" customHeight="1">
      <c r="A2678" s="2">
        <v>893</v>
      </c>
      <c r="B2678" s="3" t="s">
        <v>1260</v>
      </c>
      <c r="C2678">
        <f>IMAGE("https://raw.githubusercontent.com/stautonico/tcg-livingdex/main/images/893/1.png", 2)</f>
        <v>0</v>
      </c>
      <c r="G2678" t="s">
        <v>9</v>
      </c>
    </row>
    <row r="2679" spans="1:7">
      <c r="C2679" s="4" t="s">
        <v>8</v>
      </c>
    </row>
    <row r="2681" spans="1:7" ht="264" customHeight="1">
      <c r="A2681" s="2">
        <v>894</v>
      </c>
      <c r="B2681" s="3" t="s">
        <v>1261</v>
      </c>
      <c r="C2681">
        <f>IMAGE("https://raw.githubusercontent.com/stautonico/tcg-livingdex/main/images/894/1.png", 2)</f>
        <v>0</v>
      </c>
      <c r="G2681" t="s">
        <v>9</v>
      </c>
    </row>
    <row r="2682" spans="1:7">
      <c r="C2682" s="4" t="s">
        <v>8</v>
      </c>
    </row>
    <row r="2684" spans="1:7" ht="264" customHeight="1">
      <c r="A2684" s="2">
        <v>895</v>
      </c>
      <c r="B2684" s="3" t="s">
        <v>1262</v>
      </c>
      <c r="C2684">
        <f>IMAGE("https://raw.githubusercontent.com/stautonico/tcg-livingdex/main/images/895/1.png", 2)</f>
        <v>0</v>
      </c>
      <c r="G2684" t="s">
        <v>9</v>
      </c>
    </row>
    <row r="2685" spans="1:7">
      <c r="C2685" s="4" t="s">
        <v>8</v>
      </c>
    </row>
    <row r="2687" spans="1:7" ht="264" customHeight="1">
      <c r="A2687" s="2">
        <v>896</v>
      </c>
      <c r="B2687" s="3" t="s">
        <v>1263</v>
      </c>
      <c r="C2687">
        <f>IMAGE("https://raw.githubusercontent.com/stautonico/tcg-livingdex/main/images/896/1.png", 2)</f>
        <v>0</v>
      </c>
      <c r="G2687" t="s">
        <v>9</v>
      </c>
    </row>
    <row r="2688" spans="1:7">
      <c r="C2688" s="4" t="s">
        <v>8</v>
      </c>
    </row>
    <row r="2690" spans="1:7" ht="264" customHeight="1">
      <c r="A2690" s="2">
        <v>897</v>
      </c>
      <c r="B2690" s="3" t="s">
        <v>1264</v>
      </c>
      <c r="C2690">
        <f>IMAGE("https://raw.githubusercontent.com/stautonico/tcg-livingdex/main/images/897/1.png", 2)</f>
        <v>0</v>
      </c>
      <c r="G2690" t="s">
        <v>9</v>
      </c>
    </row>
    <row r="2691" spans="1:7">
      <c r="C2691" s="4" t="s">
        <v>8</v>
      </c>
    </row>
    <row r="2693" spans="1:7" ht="264" customHeight="1">
      <c r="A2693" s="2">
        <v>898</v>
      </c>
      <c r="B2693" s="3" t="s">
        <v>1265</v>
      </c>
      <c r="C2693">
        <f>IMAGE("https://raw.githubusercontent.com/stautonico/tcg-livingdex/main/images/898/1.png", 2)</f>
        <v>0</v>
      </c>
      <c r="G2693" t="s">
        <v>9</v>
      </c>
    </row>
    <row r="2694" spans="1:7">
      <c r="C2694" s="4" t="s">
        <v>8</v>
      </c>
    </row>
    <row r="2696" spans="1:7" ht="264" customHeight="1">
      <c r="A2696" s="2">
        <v>899</v>
      </c>
      <c r="B2696" s="3" t="s">
        <v>1266</v>
      </c>
      <c r="C2696">
        <f>IMAGE("https://raw.githubusercontent.com/stautonico/tcg-livingdex/main/images/899/1.png", 2)</f>
        <v>0</v>
      </c>
      <c r="G2696" t="s">
        <v>9</v>
      </c>
    </row>
    <row r="2697" spans="1:7">
      <c r="C2697" s="4" t="s">
        <v>8</v>
      </c>
    </row>
    <row r="2699" spans="1:7" ht="264" customHeight="1">
      <c r="A2699" s="2">
        <v>900</v>
      </c>
      <c r="B2699" s="3" t="s">
        <v>1267</v>
      </c>
      <c r="C2699">
        <f>IMAGE("https://raw.githubusercontent.com/stautonico/tcg-livingdex/main/images/900/1.png", 2)</f>
        <v>0</v>
      </c>
      <c r="G2699" t="s">
        <v>9</v>
      </c>
    </row>
    <row r="2700" spans="1:7">
      <c r="C2700" s="4" t="s">
        <v>8</v>
      </c>
    </row>
    <row r="2702" spans="1:7" ht="264" customHeight="1">
      <c r="A2702" s="2">
        <v>901</v>
      </c>
      <c r="B2702" s="3" t="s">
        <v>1268</v>
      </c>
      <c r="C2702">
        <f>IMAGE("https://raw.githubusercontent.com/stautonico/tcg-livingdex/main/images/901/1.png", 2)</f>
        <v>0</v>
      </c>
      <c r="G2702" t="s">
        <v>9</v>
      </c>
    </row>
    <row r="2703" spans="1:7">
      <c r="C2703" s="4" t="s">
        <v>8</v>
      </c>
    </row>
    <row r="2705" spans="1:7" ht="264" customHeight="1">
      <c r="A2705" s="2">
        <v>902</v>
      </c>
      <c r="B2705" s="3" t="s">
        <v>1269</v>
      </c>
      <c r="C2705">
        <f>IMAGE("https://raw.githubusercontent.com/stautonico/tcg-livingdex/main/images/902/1.png", 2)</f>
        <v>0</v>
      </c>
      <c r="D2705">
        <f>IMAGE("https://raw.githubusercontent.com/stautonico/tcg-livingdex/main/images/902/2.png", 2)</f>
        <v>0</v>
      </c>
      <c r="E2705">
        <f>IMAGE("https://raw.githubusercontent.com/stautonico/tcg-livingdex/main/images/902/3.png", 2)</f>
        <v>0</v>
      </c>
      <c r="G2705" t="s">
        <v>9</v>
      </c>
    </row>
    <row r="2706" spans="1:7">
      <c r="C2706" s="4" t="s">
        <v>1270</v>
      </c>
      <c r="D2706" s="4" t="s">
        <v>1271</v>
      </c>
      <c r="E2706" s="4" t="s">
        <v>1272</v>
      </c>
    </row>
    <row r="2708" spans="1:7" ht="264" customHeight="1">
      <c r="A2708" s="2">
        <v>903</v>
      </c>
      <c r="B2708" s="3" t="s">
        <v>1273</v>
      </c>
      <c r="C2708">
        <f>IMAGE("https://raw.githubusercontent.com/stautonico/tcg-livingdex/main/images/903/1.png", 2)</f>
        <v>0</v>
      </c>
      <c r="G2708" t="s">
        <v>9</v>
      </c>
    </row>
    <row r="2709" spans="1:7">
      <c r="C2709" s="4" t="s">
        <v>8</v>
      </c>
    </row>
    <row r="2711" spans="1:7" ht="264" customHeight="1">
      <c r="A2711" s="2">
        <v>904</v>
      </c>
      <c r="B2711" s="3" t="s">
        <v>1274</v>
      </c>
      <c r="C2711">
        <f>IMAGE("https://raw.githubusercontent.com/stautonico/tcg-livingdex/main/images/904/1.png", 2)</f>
        <v>0</v>
      </c>
      <c r="G2711" t="s">
        <v>9</v>
      </c>
    </row>
    <row r="2712" spans="1:7">
      <c r="C2712" s="4" t="s">
        <v>8</v>
      </c>
    </row>
    <row r="2714" spans="1:7" ht="264" customHeight="1">
      <c r="A2714" s="2">
        <v>905</v>
      </c>
      <c r="B2714" s="3" t="s">
        <v>1275</v>
      </c>
      <c r="C2714">
        <f>IMAGE("https://raw.githubusercontent.com/stautonico/tcg-livingdex/main/images/905/1.png", 2)</f>
        <v>0</v>
      </c>
      <c r="G2714" t="s">
        <v>9</v>
      </c>
    </row>
    <row r="2715" spans="1:7">
      <c r="C2715" s="4" t="s">
        <v>8</v>
      </c>
    </row>
    <row r="2717" spans="1:7" ht="264" customHeight="1">
      <c r="A2717" s="2">
        <v>906</v>
      </c>
      <c r="B2717" s="3" t="s">
        <v>1276</v>
      </c>
      <c r="C2717">
        <f>IMAGE("https://raw.githubusercontent.com/stautonico/tcg-livingdex/main/images/906/1.png", 2)</f>
        <v>0</v>
      </c>
      <c r="G2717" t="s">
        <v>9</v>
      </c>
    </row>
    <row r="2718" spans="1:7">
      <c r="C2718" s="4" t="s">
        <v>8</v>
      </c>
    </row>
    <row r="2720" spans="1:7" ht="264" customHeight="1">
      <c r="A2720" s="2">
        <v>907</v>
      </c>
      <c r="B2720" s="3" t="s">
        <v>1277</v>
      </c>
      <c r="C2720">
        <f>IMAGE("https://raw.githubusercontent.com/stautonico/tcg-livingdex/main/images/907/1.png", 2)</f>
        <v>0</v>
      </c>
      <c r="G2720" t="s">
        <v>9</v>
      </c>
    </row>
    <row r="2721" spans="1:7">
      <c r="C2721" s="4" t="s">
        <v>8</v>
      </c>
    </row>
    <row r="2723" spans="1:7" ht="264" customHeight="1">
      <c r="A2723" s="2">
        <v>908</v>
      </c>
      <c r="B2723" s="3" t="s">
        <v>1278</v>
      </c>
      <c r="C2723">
        <f>IMAGE("https://raw.githubusercontent.com/stautonico/tcg-livingdex/main/images/908/1.png", 2)</f>
        <v>0</v>
      </c>
      <c r="D2723">
        <f>IMAGE("https://raw.githubusercontent.com/stautonico/tcg-livingdex/main/images/908/2.png", 2)</f>
        <v>0</v>
      </c>
      <c r="E2723">
        <f>IMAGE("https://raw.githubusercontent.com/stautonico/tcg-livingdex/main/images/908/3.png", 2)</f>
        <v>0</v>
      </c>
      <c r="F2723">
        <f>IMAGE("https://raw.githubusercontent.com/stautonico/tcg-livingdex/main/images/908/4.png", 2)</f>
        <v>0</v>
      </c>
      <c r="G2723" t="s">
        <v>9</v>
      </c>
    </row>
    <row r="2724" spans="1:7">
      <c r="C2724" s="4" t="s">
        <v>1279</v>
      </c>
      <c r="D2724" s="4" t="s">
        <v>1280</v>
      </c>
      <c r="E2724" s="4" t="s">
        <v>1281</v>
      </c>
      <c r="F2724" s="4" t="s">
        <v>1282</v>
      </c>
    </row>
    <row r="2726" spans="1:7" ht="264" customHeight="1">
      <c r="A2726" s="2">
        <v>909</v>
      </c>
      <c r="B2726" s="3" t="s">
        <v>1283</v>
      </c>
      <c r="C2726">
        <f>IMAGE("https://raw.githubusercontent.com/stautonico/tcg-livingdex/main/images/909/1.png", 2)</f>
        <v>0</v>
      </c>
      <c r="G2726" t="s">
        <v>9</v>
      </c>
    </row>
    <row r="2727" spans="1:7">
      <c r="C2727" s="4" t="s">
        <v>8</v>
      </c>
    </row>
    <row r="2729" spans="1:7" ht="264" customHeight="1">
      <c r="A2729" s="2">
        <v>910</v>
      </c>
      <c r="B2729" s="3" t="s">
        <v>1284</v>
      </c>
      <c r="C2729">
        <f>IMAGE("https://raw.githubusercontent.com/stautonico/tcg-livingdex/main/images/910/1.png", 2)</f>
        <v>0</v>
      </c>
      <c r="G2729" t="s">
        <v>9</v>
      </c>
    </row>
    <row r="2730" spans="1:7">
      <c r="C2730" s="4" t="s">
        <v>8</v>
      </c>
    </row>
    <row r="2732" spans="1:7" ht="264" customHeight="1">
      <c r="A2732" s="2">
        <v>911</v>
      </c>
      <c r="B2732" s="3" t="s">
        <v>1285</v>
      </c>
      <c r="C2732">
        <f>IMAGE("https://raw.githubusercontent.com/stautonico/tcg-livingdex/main/images/911/1.png", 2)</f>
        <v>0</v>
      </c>
      <c r="G2732" t="s">
        <v>9</v>
      </c>
    </row>
    <row r="2733" spans="1:7">
      <c r="C2733" s="4" t="s">
        <v>8</v>
      </c>
    </row>
    <row r="2735" spans="1:7" ht="264" customHeight="1">
      <c r="A2735" s="2">
        <v>912</v>
      </c>
      <c r="B2735" s="3" t="s">
        <v>1286</v>
      </c>
      <c r="C2735">
        <f>IMAGE("https://raw.githubusercontent.com/stautonico/tcg-livingdex/main/images/912/1.png", 2)</f>
        <v>0</v>
      </c>
      <c r="G2735" t="s">
        <v>9</v>
      </c>
    </row>
    <row r="2736" spans="1:7">
      <c r="C2736" s="4" t="s">
        <v>8</v>
      </c>
    </row>
    <row r="2738" spans="1:7" ht="264" customHeight="1">
      <c r="A2738" s="2">
        <v>913</v>
      </c>
      <c r="B2738" s="3" t="s">
        <v>1287</v>
      </c>
      <c r="C2738">
        <f>IMAGE("https://raw.githubusercontent.com/stautonico/tcg-livingdex/main/images/913/1.png", 2)</f>
        <v>0</v>
      </c>
      <c r="G2738" t="s">
        <v>9</v>
      </c>
    </row>
    <row r="2739" spans="1:7">
      <c r="C2739" s="4" t="s">
        <v>8</v>
      </c>
    </row>
    <row r="2741" spans="1:7" ht="264" customHeight="1">
      <c r="A2741" s="2">
        <v>914</v>
      </c>
      <c r="B2741" s="3" t="s">
        <v>1288</v>
      </c>
      <c r="C2741">
        <f>IMAGE("https://raw.githubusercontent.com/stautonico/tcg-livingdex/main/images/914/1.png", 2)</f>
        <v>0</v>
      </c>
      <c r="G2741" t="s">
        <v>9</v>
      </c>
    </row>
    <row r="2742" spans="1:7">
      <c r="C2742" s="4" t="s">
        <v>8</v>
      </c>
    </row>
    <row r="2744" spans="1:7" ht="264" customHeight="1">
      <c r="A2744" s="2">
        <v>915</v>
      </c>
      <c r="B2744" s="3" t="s">
        <v>1289</v>
      </c>
      <c r="C2744">
        <f>IMAGE("https://raw.githubusercontent.com/stautonico/tcg-livingdex/main/images/915/1.png", 2)</f>
        <v>0</v>
      </c>
      <c r="G2744" t="s">
        <v>9</v>
      </c>
    </row>
    <row r="2745" spans="1:7">
      <c r="C2745" s="4" t="s">
        <v>8</v>
      </c>
    </row>
    <row r="2747" spans="1:7" ht="264" customHeight="1">
      <c r="A2747" s="2">
        <v>916</v>
      </c>
      <c r="B2747" s="3" t="s">
        <v>1290</v>
      </c>
      <c r="C2747">
        <f>IMAGE("https://raw.githubusercontent.com/stautonico/tcg-livingdex/main/images/916/1.png", 2)</f>
        <v>0</v>
      </c>
      <c r="G2747" t="s">
        <v>9</v>
      </c>
    </row>
    <row r="2748" spans="1:7">
      <c r="C2748" s="4" t="s">
        <v>8</v>
      </c>
    </row>
    <row r="2750" spans="1:7" ht="264" customHeight="1">
      <c r="A2750" s="2">
        <v>917</v>
      </c>
      <c r="B2750" s="3" t="s">
        <v>1291</v>
      </c>
      <c r="C2750">
        <f>IMAGE("https://raw.githubusercontent.com/stautonico/tcg-livingdex/main/images/917/1.png", 2)</f>
        <v>0</v>
      </c>
      <c r="G2750" t="s">
        <v>9</v>
      </c>
    </row>
    <row r="2751" spans="1:7">
      <c r="C2751" s="4" t="s">
        <v>8</v>
      </c>
    </row>
    <row r="2753" spans="1:7" ht="264" customHeight="1">
      <c r="A2753" s="2">
        <v>918</v>
      </c>
      <c r="B2753" s="3" t="s">
        <v>1292</v>
      </c>
      <c r="C2753">
        <f>IMAGE("https://raw.githubusercontent.com/stautonico/tcg-livingdex/main/images/918/1.png", 2)</f>
        <v>0</v>
      </c>
      <c r="G2753" t="s">
        <v>9</v>
      </c>
    </row>
    <row r="2754" spans="1:7">
      <c r="C2754" s="4" t="s">
        <v>8</v>
      </c>
    </row>
    <row r="2756" spans="1:7" ht="264" customHeight="1">
      <c r="A2756" s="2">
        <v>919</v>
      </c>
      <c r="B2756" s="3" t="s">
        <v>1293</v>
      </c>
      <c r="C2756">
        <f>IMAGE("https://raw.githubusercontent.com/stautonico/tcg-livingdex/main/images/919/1.png", 2)</f>
        <v>0</v>
      </c>
      <c r="G2756" t="s">
        <v>9</v>
      </c>
    </row>
    <row r="2757" spans="1:7">
      <c r="C2757" s="4" t="s">
        <v>8</v>
      </c>
    </row>
    <row r="2759" spans="1:7" ht="264" customHeight="1">
      <c r="A2759" s="2">
        <v>920</v>
      </c>
      <c r="B2759" s="3" t="s">
        <v>1294</v>
      </c>
      <c r="C2759">
        <f>IMAGE("https://raw.githubusercontent.com/stautonico/tcg-livingdex/main/images/920/1.png", 2)</f>
        <v>0</v>
      </c>
      <c r="G2759" t="s">
        <v>9</v>
      </c>
    </row>
    <row r="2760" spans="1:7">
      <c r="C2760" s="4" t="s">
        <v>8</v>
      </c>
    </row>
    <row r="2762" spans="1:7" ht="264" customHeight="1">
      <c r="A2762" s="2">
        <v>921</v>
      </c>
      <c r="B2762" s="3" t="s">
        <v>1295</v>
      </c>
      <c r="C2762">
        <f>IMAGE("https://raw.githubusercontent.com/stautonico/tcg-livingdex/main/images/921/1.png", 2)</f>
        <v>0</v>
      </c>
      <c r="G2762" t="s">
        <v>9</v>
      </c>
    </row>
    <row r="2763" spans="1:7">
      <c r="C2763" s="4" t="s">
        <v>8</v>
      </c>
    </row>
    <row r="2765" spans="1:7" ht="264" customHeight="1">
      <c r="A2765" s="2">
        <v>922</v>
      </c>
      <c r="B2765" s="3" t="s">
        <v>1296</v>
      </c>
      <c r="C2765">
        <f>IMAGE("https://raw.githubusercontent.com/stautonico/tcg-livingdex/main/images/922/1.png", 2)</f>
        <v>0</v>
      </c>
      <c r="G2765" t="s">
        <v>9</v>
      </c>
    </row>
    <row r="2766" spans="1:7">
      <c r="C2766" s="4" t="s">
        <v>8</v>
      </c>
    </row>
    <row r="2768" spans="1:7" ht="264" customHeight="1">
      <c r="A2768" s="2">
        <v>923</v>
      </c>
      <c r="B2768" s="3" t="s">
        <v>1297</v>
      </c>
      <c r="C2768">
        <f>IMAGE("https://raw.githubusercontent.com/stautonico/tcg-livingdex/main/images/923/1.png", 2)</f>
        <v>0</v>
      </c>
      <c r="G2768" t="s">
        <v>9</v>
      </c>
    </row>
    <row r="2769" spans="1:7">
      <c r="C2769" s="4" t="s">
        <v>8</v>
      </c>
    </row>
    <row r="2771" spans="1:7" ht="264" customHeight="1">
      <c r="A2771" s="2">
        <v>924</v>
      </c>
      <c r="B2771" s="3" t="s">
        <v>1298</v>
      </c>
      <c r="C2771">
        <f>IMAGE("https://raw.githubusercontent.com/stautonico/tcg-livingdex/main/images/924/1.png", 2)</f>
        <v>0</v>
      </c>
      <c r="G2771" t="s">
        <v>9</v>
      </c>
    </row>
    <row r="2772" spans="1:7">
      <c r="C2772" s="4" t="s">
        <v>8</v>
      </c>
    </row>
    <row r="2774" spans="1:7" ht="264" customHeight="1">
      <c r="A2774" s="2">
        <v>925</v>
      </c>
      <c r="B2774" s="3" t="s">
        <v>1299</v>
      </c>
      <c r="C2774">
        <f>IMAGE("https://raw.githubusercontent.com/stautonico/tcg-livingdex/main/images/925/1.png", 2)</f>
        <v>0</v>
      </c>
      <c r="G2774" t="s">
        <v>9</v>
      </c>
    </row>
    <row r="2775" spans="1:7">
      <c r="C2775" s="4" t="s">
        <v>8</v>
      </c>
    </row>
    <row r="2777" spans="1:7" ht="264" customHeight="1">
      <c r="A2777" s="2">
        <v>926</v>
      </c>
      <c r="B2777" s="3" t="s">
        <v>1300</v>
      </c>
      <c r="C2777">
        <f>IMAGE("https://raw.githubusercontent.com/stautonico/tcg-livingdex/main/images/926/1.png", 2)</f>
        <v>0</v>
      </c>
      <c r="G2777" t="s">
        <v>9</v>
      </c>
    </row>
    <row r="2778" spans="1:7">
      <c r="C2778" s="4" t="s">
        <v>8</v>
      </c>
    </row>
    <row r="2780" spans="1:7" ht="264" customHeight="1">
      <c r="A2780" s="2">
        <v>927</v>
      </c>
      <c r="B2780" s="3" t="s">
        <v>1301</v>
      </c>
      <c r="C2780">
        <f>IMAGE("https://raw.githubusercontent.com/stautonico/tcg-livingdex/main/images/927/1.png", 2)</f>
        <v>0</v>
      </c>
      <c r="G2780" t="s">
        <v>9</v>
      </c>
    </row>
    <row r="2781" spans="1:7">
      <c r="C2781" s="4" t="s">
        <v>8</v>
      </c>
    </row>
    <row r="2783" spans="1:7" ht="264" customHeight="1">
      <c r="A2783" s="2">
        <v>928</v>
      </c>
      <c r="B2783" s="3" t="s">
        <v>1302</v>
      </c>
      <c r="C2783">
        <f>IMAGE("https://raw.githubusercontent.com/stautonico/tcg-livingdex/main/images/928/1.png", 2)</f>
        <v>0</v>
      </c>
      <c r="G2783" t="s">
        <v>9</v>
      </c>
    </row>
    <row r="2784" spans="1:7">
      <c r="C2784" s="4" t="s">
        <v>8</v>
      </c>
    </row>
    <row r="2786" spans="1:7" ht="264" customHeight="1">
      <c r="A2786" s="2">
        <v>929</v>
      </c>
      <c r="B2786" s="3" t="s">
        <v>1303</v>
      </c>
      <c r="C2786">
        <f>IMAGE("https://raw.githubusercontent.com/stautonico/tcg-livingdex/main/images/929/1.png", 2)</f>
        <v>0</v>
      </c>
      <c r="G2786" t="s">
        <v>9</v>
      </c>
    </row>
    <row r="2787" spans="1:7">
      <c r="C2787" s="4" t="s">
        <v>8</v>
      </c>
    </row>
    <row r="2789" spans="1:7" ht="264" customHeight="1">
      <c r="A2789" s="2">
        <v>930</v>
      </c>
      <c r="B2789" s="3" t="s">
        <v>1304</v>
      </c>
      <c r="C2789">
        <f>IMAGE("https://raw.githubusercontent.com/stautonico/tcg-livingdex/main/images/930/1.png", 2)</f>
        <v>0</v>
      </c>
      <c r="G2789" t="s">
        <v>9</v>
      </c>
    </row>
    <row r="2790" spans="1:7">
      <c r="C2790" s="4" t="s">
        <v>8</v>
      </c>
    </row>
    <row r="2792" spans="1:7" ht="264" customHeight="1">
      <c r="A2792" s="2">
        <v>931</v>
      </c>
      <c r="B2792" s="3" t="s">
        <v>1305</v>
      </c>
      <c r="C2792">
        <f>IMAGE("https://raw.githubusercontent.com/stautonico/tcg-livingdex/main/images/931/1.png", 2)</f>
        <v>0</v>
      </c>
      <c r="G2792" t="s">
        <v>9</v>
      </c>
    </row>
    <row r="2793" spans="1:7">
      <c r="C2793" s="4" t="s">
        <v>8</v>
      </c>
    </row>
    <row r="2795" spans="1:7" ht="264" customHeight="1">
      <c r="A2795" s="2">
        <v>932</v>
      </c>
      <c r="B2795" s="3" t="s">
        <v>1306</v>
      </c>
      <c r="C2795">
        <f>IMAGE("https://raw.githubusercontent.com/stautonico/tcg-livingdex/main/images/932/1.png", 2)</f>
        <v>0</v>
      </c>
      <c r="G2795" t="s">
        <v>9</v>
      </c>
    </row>
    <row r="2796" spans="1:7">
      <c r="C2796" s="4" t="s">
        <v>8</v>
      </c>
    </row>
    <row r="2798" spans="1:7" ht="264" customHeight="1">
      <c r="A2798" s="2">
        <v>933</v>
      </c>
      <c r="B2798" s="3" t="s">
        <v>1307</v>
      </c>
      <c r="C2798">
        <f>IMAGE("https://raw.githubusercontent.com/stautonico/tcg-livingdex/main/images/933/1.png", 2)</f>
        <v>0</v>
      </c>
      <c r="D2798">
        <f>IMAGE("https://raw.githubusercontent.com/stautonico/tcg-livingdex/main/images/933/2.png", 2)</f>
        <v>0</v>
      </c>
      <c r="E2798">
        <f>IMAGE("https://raw.githubusercontent.com/stautonico/tcg-livingdex/main/images/933/3.png", 2)</f>
        <v>0</v>
      </c>
      <c r="G2798" t="s">
        <v>9</v>
      </c>
    </row>
    <row r="2799" spans="1:7">
      <c r="C2799" s="4" t="s">
        <v>1308</v>
      </c>
      <c r="D2799" s="4" t="s">
        <v>1309</v>
      </c>
      <c r="E2799" s="4" t="s">
        <v>1310</v>
      </c>
    </row>
    <row r="2801" spans="1:7" ht="264" customHeight="1">
      <c r="A2801" s="2">
        <v>934</v>
      </c>
      <c r="B2801" s="3" t="s">
        <v>1311</v>
      </c>
      <c r="C2801">
        <f>IMAGE("https://raw.githubusercontent.com/stautonico/tcg-livingdex/main/images/934/1.png", 2)</f>
        <v>0</v>
      </c>
      <c r="G2801" t="s">
        <v>9</v>
      </c>
    </row>
    <row r="2802" spans="1:7">
      <c r="C2802" s="4" t="s">
        <v>8</v>
      </c>
    </row>
    <row r="2804" spans="1:7" ht="264" customHeight="1">
      <c r="A2804" s="2">
        <v>935</v>
      </c>
      <c r="B2804" s="3" t="s">
        <v>1312</v>
      </c>
      <c r="C2804">
        <f>IMAGE("https://raw.githubusercontent.com/stautonico/tcg-livingdex/main/images/935/1.png", 2)</f>
        <v>0</v>
      </c>
      <c r="G2804" t="s">
        <v>9</v>
      </c>
    </row>
    <row r="2805" spans="1:7">
      <c r="C2805" s="4" t="s">
        <v>8</v>
      </c>
    </row>
    <row r="2807" spans="1:7" ht="264" customHeight="1">
      <c r="A2807" s="2">
        <v>936</v>
      </c>
      <c r="B2807" s="3" t="s">
        <v>1313</v>
      </c>
      <c r="C2807">
        <f>IMAGE("https://raw.githubusercontent.com/stautonico/tcg-livingdex/main/images/936/1.png", 2)</f>
        <v>0</v>
      </c>
      <c r="G2807" t="s">
        <v>9</v>
      </c>
    </row>
    <row r="2808" spans="1:7">
      <c r="C2808" s="4" t="s">
        <v>8</v>
      </c>
    </row>
    <row r="2810" spans="1:7" ht="264" customHeight="1">
      <c r="A2810" s="2">
        <v>937</v>
      </c>
      <c r="B2810" s="3" t="s">
        <v>1314</v>
      </c>
      <c r="C2810">
        <f>IMAGE("https://raw.githubusercontent.com/stautonico/tcg-livingdex/main/images/937/1.png", 2)</f>
        <v>0</v>
      </c>
      <c r="G2810" t="s">
        <v>9</v>
      </c>
    </row>
    <row r="2811" spans="1:7">
      <c r="C2811" s="4" t="s">
        <v>8</v>
      </c>
    </row>
    <row r="2813" spans="1:7" ht="264" customHeight="1">
      <c r="A2813" s="2">
        <v>938</v>
      </c>
      <c r="B2813" s="3" t="s">
        <v>1315</v>
      </c>
      <c r="C2813">
        <f>IMAGE("https://raw.githubusercontent.com/stautonico/tcg-livingdex/main/images/938/1.png", 2)</f>
        <v>0</v>
      </c>
      <c r="G2813" t="s">
        <v>9</v>
      </c>
    </row>
    <row r="2814" spans="1:7">
      <c r="C2814" s="4" t="s">
        <v>8</v>
      </c>
    </row>
    <row r="2816" spans="1:7" ht="264" customHeight="1">
      <c r="A2816" s="2">
        <v>939</v>
      </c>
      <c r="B2816" s="3" t="s">
        <v>1316</v>
      </c>
      <c r="C2816">
        <f>IMAGE("https://raw.githubusercontent.com/stautonico/tcg-livingdex/main/images/939/1.png", 2)</f>
        <v>0</v>
      </c>
      <c r="G2816" t="s">
        <v>9</v>
      </c>
    </row>
    <row r="2817" spans="1:7">
      <c r="C2817" s="4" t="s">
        <v>8</v>
      </c>
    </row>
    <row r="2819" spans="1:7" ht="264" customHeight="1">
      <c r="A2819" s="2">
        <v>940</v>
      </c>
      <c r="B2819" s="3" t="s">
        <v>1317</v>
      </c>
      <c r="C2819">
        <f>IMAGE("https://raw.githubusercontent.com/stautonico/tcg-livingdex/main/images/940/1.png", 2)</f>
        <v>0</v>
      </c>
      <c r="D2819">
        <f>IMAGE("https://raw.githubusercontent.com/stautonico/tcg-livingdex/main/images/940/2.png", 2)</f>
        <v>0</v>
      </c>
      <c r="E2819">
        <f>IMAGE("https://raw.githubusercontent.com/stautonico/tcg-livingdex/main/images/940/3.png", 2)</f>
        <v>0</v>
      </c>
      <c r="F2819">
        <f>IMAGE("https://raw.githubusercontent.com/stautonico/tcg-livingdex/main/images/940/4.png", 2)</f>
        <v>0</v>
      </c>
      <c r="G2819" t="s">
        <v>9</v>
      </c>
    </row>
    <row r="2820" spans="1:7">
      <c r="C2820" s="4" t="s">
        <v>1318</v>
      </c>
      <c r="D2820" s="4" t="s">
        <v>1319</v>
      </c>
      <c r="E2820" s="4" t="s">
        <v>1320</v>
      </c>
      <c r="F2820" s="4" t="s">
        <v>1321</v>
      </c>
    </row>
    <row r="2822" spans="1:7" ht="264" customHeight="1">
      <c r="A2822" s="2">
        <v>941</v>
      </c>
      <c r="B2822" s="3" t="s">
        <v>1322</v>
      </c>
      <c r="C2822">
        <f>IMAGE("https://raw.githubusercontent.com/stautonico/tcg-livingdex/main/images/941/1.png", 2)</f>
        <v>0</v>
      </c>
      <c r="G2822" t="s">
        <v>9</v>
      </c>
    </row>
    <row r="2823" spans="1:7">
      <c r="C2823" s="4" t="s">
        <v>8</v>
      </c>
    </row>
    <row r="2825" spans="1:7" ht="264" customHeight="1">
      <c r="A2825" s="2">
        <v>942</v>
      </c>
      <c r="B2825" s="3" t="s">
        <v>1323</v>
      </c>
      <c r="C2825">
        <f>IMAGE("https://raw.githubusercontent.com/stautonico/tcg-livingdex/main/images/942/1.png", 2)</f>
        <v>0</v>
      </c>
      <c r="G2825" t="s">
        <v>9</v>
      </c>
    </row>
    <row r="2826" spans="1:7">
      <c r="C2826" s="4" t="s">
        <v>8</v>
      </c>
    </row>
    <row r="2828" spans="1:7" ht="264" customHeight="1">
      <c r="A2828" s="2">
        <v>943</v>
      </c>
      <c r="B2828" s="3" t="s">
        <v>1324</v>
      </c>
      <c r="C2828">
        <f>IMAGE("https://raw.githubusercontent.com/stautonico/tcg-livingdex/main/images/943/1.png", 2)</f>
        <v>0</v>
      </c>
      <c r="D2828">
        <f>IMAGE("https://raw.githubusercontent.com/stautonico/tcg-livingdex/main/images/943/2.png", 2)</f>
        <v>0</v>
      </c>
      <c r="E2828">
        <f>IMAGE("https://raw.githubusercontent.com/stautonico/tcg-livingdex/main/images/943/3.png", 2)</f>
        <v>0</v>
      </c>
      <c r="F2828">
        <f>IMAGE("https://raw.githubusercontent.com/stautonico/tcg-livingdex/main/images/943/4.png", 2)</f>
        <v>0</v>
      </c>
      <c r="G2828" t="s">
        <v>9</v>
      </c>
    </row>
    <row r="2829" spans="1:7">
      <c r="C2829" s="4" t="s">
        <v>1325</v>
      </c>
      <c r="D2829" s="4" t="s">
        <v>1326</v>
      </c>
      <c r="E2829" s="4" t="s">
        <v>1327</v>
      </c>
      <c r="F2829" s="4" t="s">
        <v>1328</v>
      </c>
    </row>
    <row r="2831" spans="1:7" ht="264" customHeight="1">
      <c r="A2831" s="2">
        <v>944</v>
      </c>
      <c r="B2831" s="3" t="s">
        <v>1329</v>
      </c>
      <c r="C2831">
        <f>IMAGE("https://raw.githubusercontent.com/stautonico/tcg-livingdex/main/images/944/1.png", 2)</f>
        <v>0</v>
      </c>
      <c r="G2831" t="s">
        <v>9</v>
      </c>
    </row>
    <row r="2832" spans="1:7">
      <c r="C2832" s="4" t="s">
        <v>8</v>
      </c>
    </row>
    <row r="2834" spans="1:7" ht="264" customHeight="1">
      <c r="A2834" s="2">
        <v>945</v>
      </c>
      <c r="B2834" s="3" t="s">
        <v>1330</v>
      </c>
      <c r="C2834">
        <f>IMAGE("https://raw.githubusercontent.com/stautonico/tcg-livingdex/main/images/945/1.png", 2)</f>
        <v>0</v>
      </c>
      <c r="D2834">
        <f>IMAGE("https://raw.githubusercontent.com/stautonico/tcg-livingdex/main/images/945/2.png", 2)</f>
        <v>0</v>
      </c>
      <c r="E2834">
        <f>IMAGE("https://raw.githubusercontent.com/stautonico/tcg-livingdex/main/images/945/3.png", 2)</f>
        <v>0</v>
      </c>
      <c r="G2834" t="s">
        <v>9</v>
      </c>
    </row>
    <row r="2835" spans="1:7">
      <c r="C2835" s="4" t="s">
        <v>1331</v>
      </c>
      <c r="D2835" s="4" t="s">
        <v>1332</v>
      </c>
      <c r="E2835" s="4" t="s">
        <v>1333</v>
      </c>
    </row>
    <row r="2837" spans="1:7" ht="264" customHeight="1">
      <c r="A2837" s="2">
        <v>946</v>
      </c>
      <c r="B2837" s="3" t="s">
        <v>1334</v>
      </c>
      <c r="C2837">
        <f>IMAGE("https://raw.githubusercontent.com/stautonico/tcg-livingdex/main/images/946/1.png", 2)</f>
        <v>0</v>
      </c>
      <c r="G2837" t="s">
        <v>9</v>
      </c>
    </row>
    <row r="2838" spans="1:7">
      <c r="C2838" s="4" t="s">
        <v>8</v>
      </c>
    </row>
    <row r="2840" spans="1:7" ht="264" customHeight="1">
      <c r="A2840" s="2">
        <v>947</v>
      </c>
      <c r="B2840" s="3" t="s">
        <v>1335</v>
      </c>
      <c r="C2840">
        <f>IMAGE("https://raw.githubusercontent.com/stautonico/tcg-livingdex/main/images/947/1.png", 2)</f>
        <v>0</v>
      </c>
      <c r="G2840" t="s">
        <v>9</v>
      </c>
    </row>
    <row r="2841" spans="1:7">
      <c r="C2841" s="4" t="s">
        <v>8</v>
      </c>
    </row>
    <row r="2843" spans="1:7" ht="264" customHeight="1">
      <c r="A2843" s="2">
        <v>948</v>
      </c>
      <c r="B2843" s="3" t="s">
        <v>1336</v>
      </c>
      <c r="C2843">
        <f>IMAGE("https://raw.githubusercontent.com/stautonico/tcg-livingdex/main/images/948/1.png", 2)</f>
        <v>0</v>
      </c>
      <c r="G2843" t="s">
        <v>9</v>
      </c>
    </row>
    <row r="2844" spans="1:7">
      <c r="C2844" s="4" t="s">
        <v>8</v>
      </c>
    </row>
    <row r="2846" spans="1:7" ht="264" customHeight="1">
      <c r="A2846" s="2">
        <v>949</v>
      </c>
      <c r="B2846" s="3" t="s">
        <v>1337</v>
      </c>
      <c r="C2846">
        <f>IMAGE("https://raw.githubusercontent.com/stautonico/tcg-livingdex/main/images/949/1.png", 2)</f>
        <v>0</v>
      </c>
      <c r="G2846" t="s">
        <v>9</v>
      </c>
    </row>
    <row r="2847" spans="1:7">
      <c r="C2847" s="4" t="s">
        <v>8</v>
      </c>
    </row>
    <row r="2849" spans="1:7" ht="264" customHeight="1">
      <c r="A2849" s="2">
        <v>950</v>
      </c>
      <c r="B2849" s="3" t="s">
        <v>1338</v>
      </c>
      <c r="C2849">
        <f>IMAGE("https://raw.githubusercontent.com/stautonico/tcg-livingdex/main/images/950/1.png", 2)</f>
        <v>0</v>
      </c>
      <c r="G2849" t="s">
        <v>9</v>
      </c>
    </row>
    <row r="2850" spans="1:7">
      <c r="C2850" s="4" t="s">
        <v>8</v>
      </c>
    </row>
    <row r="2852" spans="1:7" ht="264" customHeight="1">
      <c r="A2852" s="2">
        <v>951</v>
      </c>
      <c r="B2852" s="3" t="s">
        <v>1339</v>
      </c>
      <c r="C2852">
        <f>IMAGE("https://raw.githubusercontent.com/stautonico/tcg-livingdex/main/images/951/1.png", 2)</f>
        <v>0</v>
      </c>
      <c r="G2852" t="s">
        <v>9</v>
      </c>
    </row>
    <row r="2853" spans="1:7">
      <c r="C2853" s="4" t="s">
        <v>8</v>
      </c>
    </row>
    <row r="2855" spans="1:7" ht="264" customHeight="1">
      <c r="A2855" s="2">
        <v>952</v>
      </c>
      <c r="B2855" s="3" t="s">
        <v>1340</v>
      </c>
      <c r="C2855">
        <f>IMAGE("https://raw.githubusercontent.com/stautonico/tcg-livingdex/main/images/952/1.png", 2)</f>
        <v>0</v>
      </c>
      <c r="G2855" t="s">
        <v>9</v>
      </c>
    </row>
    <row r="2856" spans="1:7">
      <c r="C2856" s="4" t="s">
        <v>8</v>
      </c>
    </row>
    <row r="2858" spans="1:7" ht="264" customHeight="1">
      <c r="A2858" s="2">
        <v>953</v>
      </c>
      <c r="B2858" s="3" t="s">
        <v>1341</v>
      </c>
      <c r="C2858">
        <f>IMAGE("https://raw.githubusercontent.com/stautonico/tcg-livingdex/main/images/953/1.png", 2)</f>
        <v>0</v>
      </c>
      <c r="G2858" t="s">
        <v>9</v>
      </c>
    </row>
    <row r="2859" spans="1:7">
      <c r="C2859" s="4" t="s">
        <v>8</v>
      </c>
    </row>
    <row r="2861" spans="1:7" ht="264" customHeight="1">
      <c r="A2861" s="2">
        <v>954</v>
      </c>
      <c r="B2861" s="3" t="s">
        <v>1342</v>
      </c>
      <c r="C2861">
        <f>IMAGE("https://raw.githubusercontent.com/stautonico/tcg-livingdex/main/images/954/1.png", 2)</f>
        <v>0</v>
      </c>
      <c r="G2861" t="s">
        <v>9</v>
      </c>
    </row>
    <row r="2862" spans="1:7">
      <c r="C2862" s="4" t="s">
        <v>8</v>
      </c>
    </row>
    <row r="2864" spans="1:7" ht="264" customHeight="1">
      <c r="A2864" s="2">
        <v>955</v>
      </c>
      <c r="B2864" s="3" t="s">
        <v>1343</v>
      </c>
      <c r="C2864">
        <f>IMAGE("https://raw.githubusercontent.com/stautonico/tcg-livingdex/main/images/955/1.png", 2)</f>
        <v>0</v>
      </c>
      <c r="G2864" t="s">
        <v>9</v>
      </c>
    </row>
    <row r="2865" spans="1:7">
      <c r="C2865" s="4" t="s">
        <v>8</v>
      </c>
    </row>
    <row r="2867" spans="1:7" ht="264" customHeight="1">
      <c r="A2867" s="2">
        <v>956</v>
      </c>
      <c r="B2867" s="3" t="s">
        <v>1344</v>
      </c>
      <c r="C2867">
        <f>IMAGE("https://raw.githubusercontent.com/stautonico/tcg-livingdex/main/images/956/1.png", 2)</f>
        <v>0</v>
      </c>
      <c r="G2867" t="s">
        <v>9</v>
      </c>
    </row>
    <row r="2868" spans="1:7">
      <c r="C2868" s="4" t="s">
        <v>8</v>
      </c>
    </row>
    <row r="2870" spans="1:7" ht="264" customHeight="1">
      <c r="A2870" s="2">
        <v>957</v>
      </c>
      <c r="B2870" s="3" t="s">
        <v>1345</v>
      </c>
      <c r="C2870">
        <f>IMAGE("https://raw.githubusercontent.com/stautonico/tcg-livingdex/main/images/957/1.png", 2)</f>
        <v>0</v>
      </c>
      <c r="G2870" t="s">
        <v>9</v>
      </c>
    </row>
    <row r="2871" spans="1:7">
      <c r="C2871" s="4" t="s">
        <v>8</v>
      </c>
    </row>
    <row r="2873" spans="1:7" ht="264" customHeight="1">
      <c r="A2873" s="2">
        <v>958</v>
      </c>
      <c r="B2873" s="3" t="s">
        <v>1346</v>
      </c>
      <c r="C2873">
        <f>IMAGE("https://raw.githubusercontent.com/stautonico/tcg-livingdex/main/images/958/1.png", 2)</f>
        <v>0</v>
      </c>
      <c r="G2873" t="s">
        <v>9</v>
      </c>
    </row>
    <row r="2874" spans="1:7">
      <c r="C2874" s="4" t="s">
        <v>8</v>
      </c>
    </row>
    <row r="2876" spans="1:7" ht="264" customHeight="1">
      <c r="A2876" s="2">
        <v>959</v>
      </c>
      <c r="B2876" s="3" t="s">
        <v>1347</v>
      </c>
      <c r="C2876">
        <f>IMAGE("https://raw.githubusercontent.com/stautonico/tcg-livingdex/main/images/959/1.png", 2)</f>
        <v>0</v>
      </c>
      <c r="G2876" t="s">
        <v>9</v>
      </c>
    </row>
    <row r="2877" spans="1:7">
      <c r="C2877" s="4" t="s">
        <v>8</v>
      </c>
    </row>
    <row r="2879" spans="1:7" ht="264" customHeight="1">
      <c r="A2879" s="2">
        <v>960</v>
      </c>
      <c r="B2879" s="3" t="s">
        <v>1348</v>
      </c>
      <c r="C2879">
        <f>IMAGE("https://raw.githubusercontent.com/stautonico/tcg-livingdex/main/images/960/1.png", 2)</f>
        <v>0</v>
      </c>
      <c r="G2879" t="s">
        <v>9</v>
      </c>
    </row>
    <row r="2880" spans="1:7">
      <c r="C2880" s="4" t="s">
        <v>8</v>
      </c>
    </row>
    <row r="2882" spans="1:7" ht="264" customHeight="1">
      <c r="A2882" s="2">
        <v>961</v>
      </c>
      <c r="B2882" s="3" t="s">
        <v>1349</v>
      </c>
      <c r="C2882">
        <f>IMAGE("https://raw.githubusercontent.com/stautonico/tcg-livingdex/main/images/961/1.png", 2)</f>
        <v>0</v>
      </c>
      <c r="G2882" t="s">
        <v>9</v>
      </c>
    </row>
    <row r="2883" spans="1:7">
      <c r="C2883" s="4" t="s">
        <v>8</v>
      </c>
    </row>
    <row r="2885" spans="1:7" ht="264" customHeight="1">
      <c r="A2885" s="2">
        <v>962</v>
      </c>
      <c r="B2885" s="3" t="s">
        <v>1350</v>
      </c>
      <c r="C2885">
        <f>IMAGE("https://raw.githubusercontent.com/stautonico/tcg-livingdex/main/images/962/1.png", 2)</f>
        <v>0</v>
      </c>
      <c r="G2885" t="s">
        <v>9</v>
      </c>
    </row>
    <row r="2886" spans="1:7">
      <c r="C2886" s="4" t="s">
        <v>8</v>
      </c>
    </row>
    <row r="2888" spans="1:7" ht="264" customHeight="1">
      <c r="A2888" s="2">
        <v>963</v>
      </c>
      <c r="B2888" s="3" t="s">
        <v>1351</v>
      </c>
      <c r="C2888">
        <f>IMAGE("https://raw.githubusercontent.com/stautonico/tcg-livingdex/main/images/963/1.png", 2)</f>
        <v>0</v>
      </c>
      <c r="G2888" t="s">
        <v>9</v>
      </c>
    </row>
    <row r="2889" spans="1:7">
      <c r="C2889" s="4" t="s">
        <v>8</v>
      </c>
    </row>
    <row r="2891" spans="1:7" ht="264" customHeight="1">
      <c r="A2891" s="2">
        <v>964</v>
      </c>
      <c r="B2891" s="3" t="s">
        <v>1352</v>
      </c>
      <c r="C2891">
        <f>IMAGE("https://raw.githubusercontent.com/stautonico/tcg-livingdex/main/images/964/1.png", 2)</f>
        <v>0</v>
      </c>
      <c r="G2891" t="s">
        <v>9</v>
      </c>
    </row>
    <row r="2892" spans="1:7">
      <c r="C2892" s="4" t="s">
        <v>8</v>
      </c>
    </row>
    <row r="2894" spans="1:7" ht="264" customHeight="1">
      <c r="A2894" s="2">
        <v>965</v>
      </c>
      <c r="B2894" s="3" t="s">
        <v>1353</v>
      </c>
      <c r="C2894">
        <f>IMAGE("https://raw.githubusercontent.com/stautonico/tcg-livingdex/main/images/965/1.png", 2)</f>
        <v>0</v>
      </c>
      <c r="D2894">
        <f>IMAGE("https://raw.githubusercontent.com/stautonico/tcg-livingdex/main/images/965/2.png", 2)</f>
        <v>0</v>
      </c>
      <c r="G2894" t="s">
        <v>9</v>
      </c>
    </row>
    <row r="2895" spans="1:7">
      <c r="C2895" s="4" t="s">
        <v>1354</v>
      </c>
      <c r="D2895" s="4" t="s">
        <v>1355</v>
      </c>
    </row>
    <row r="2897" spans="1:7" ht="264" customHeight="1">
      <c r="A2897" s="2">
        <v>966</v>
      </c>
      <c r="B2897" s="3" t="s">
        <v>1356</v>
      </c>
      <c r="C2897">
        <f>IMAGE("https://raw.githubusercontent.com/stautonico/tcg-livingdex/main/images/966/1.png", 2)</f>
        <v>0</v>
      </c>
      <c r="G2897" t="s">
        <v>9</v>
      </c>
    </row>
    <row r="2898" spans="1:7">
      <c r="C2898" s="4" t="s">
        <v>8</v>
      </c>
    </row>
    <row r="2900" spans="1:7" ht="264" customHeight="1">
      <c r="A2900" s="2">
        <v>967</v>
      </c>
      <c r="B2900" s="3" t="s">
        <v>1357</v>
      </c>
      <c r="C2900">
        <f>IMAGE("https://raw.githubusercontent.com/stautonico/tcg-livingdex/main/images/967/1.png", 2)</f>
        <v>0</v>
      </c>
      <c r="G2900" t="s">
        <v>9</v>
      </c>
    </row>
    <row r="2901" spans="1:7">
      <c r="C2901" s="4" t="s">
        <v>8</v>
      </c>
    </row>
    <row r="2903" spans="1:7" ht="264" customHeight="1">
      <c r="A2903" s="2">
        <v>968</v>
      </c>
      <c r="B2903" s="3" t="s">
        <v>1358</v>
      </c>
      <c r="C2903">
        <f>IMAGE("https://raw.githubusercontent.com/stautonico/tcg-livingdex/main/images/968/1.png", 2)</f>
        <v>0</v>
      </c>
      <c r="G2903" t="s">
        <v>9</v>
      </c>
    </row>
    <row r="2904" spans="1:7">
      <c r="C2904" s="4" t="s">
        <v>8</v>
      </c>
    </row>
    <row r="2906" spans="1:7" ht="264" customHeight="1">
      <c r="A2906" s="2">
        <v>969</v>
      </c>
      <c r="B2906" s="3" t="s">
        <v>1359</v>
      </c>
      <c r="C2906">
        <f>IMAGE("https://raw.githubusercontent.com/stautonico/tcg-livingdex/main/images/969/1.png", 2)</f>
        <v>0</v>
      </c>
      <c r="G2906" t="s">
        <v>9</v>
      </c>
    </row>
    <row r="2907" spans="1:7">
      <c r="C2907" s="4" t="s">
        <v>8</v>
      </c>
    </row>
    <row r="2909" spans="1:7" ht="264" customHeight="1">
      <c r="A2909" s="2">
        <v>970</v>
      </c>
      <c r="B2909" s="3" t="s">
        <v>1360</v>
      </c>
      <c r="C2909">
        <f>IMAGE("https://raw.githubusercontent.com/stautonico/tcg-livingdex/main/images/970/1.png", 2)</f>
        <v>0</v>
      </c>
      <c r="G2909" t="s">
        <v>9</v>
      </c>
    </row>
    <row r="2910" spans="1:7">
      <c r="C2910" s="4" t="s">
        <v>8</v>
      </c>
    </row>
    <row r="2912" spans="1:7" ht="264" customHeight="1">
      <c r="A2912" s="2">
        <v>971</v>
      </c>
      <c r="B2912" s="3" t="s">
        <v>1361</v>
      </c>
      <c r="C2912">
        <f>IMAGE("https://raw.githubusercontent.com/stautonico/tcg-livingdex/main/images/971/1.png", 2)</f>
        <v>0</v>
      </c>
      <c r="G2912" t="s">
        <v>9</v>
      </c>
    </row>
    <row r="2913" spans="1:7">
      <c r="C2913" s="4" t="s">
        <v>8</v>
      </c>
    </row>
    <row r="2915" spans="1:7" ht="264" customHeight="1">
      <c r="A2915" s="2">
        <v>972</v>
      </c>
      <c r="B2915" s="3" t="s">
        <v>1362</v>
      </c>
      <c r="C2915">
        <f>IMAGE("https://raw.githubusercontent.com/stautonico/tcg-livingdex/main/images/972/1.png", 2)</f>
        <v>0</v>
      </c>
      <c r="G2915" t="s">
        <v>9</v>
      </c>
    </row>
    <row r="2916" spans="1:7">
      <c r="C2916" s="4" t="s">
        <v>8</v>
      </c>
    </row>
    <row r="2918" spans="1:7" ht="264" customHeight="1">
      <c r="A2918" s="2">
        <v>973</v>
      </c>
      <c r="B2918" s="3" t="s">
        <v>1363</v>
      </c>
      <c r="C2918">
        <f>IMAGE("https://raw.githubusercontent.com/stautonico/tcg-livingdex/main/images/973/1.png", 2)</f>
        <v>0</v>
      </c>
      <c r="G2918" t="s">
        <v>9</v>
      </c>
    </row>
    <row r="2919" spans="1:7">
      <c r="C2919" s="4" t="s">
        <v>8</v>
      </c>
    </row>
    <row r="2921" spans="1:7" ht="264" customHeight="1">
      <c r="A2921" s="2">
        <v>974</v>
      </c>
      <c r="B2921" s="3" t="s">
        <v>1364</v>
      </c>
      <c r="C2921">
        <f>IMAGE("https://raw.githubusercontent.com/stautonico/tcg-livingdex/main/images/974/1.png", 2)</f>
        <v>0</v>
      </c>
      <c r="G2921" t="s">
        <v>9</v>
      </c>
    </row>
    <row r="2922" spans="1:7">
      <c r="C2922" s="4" t="s">
        <v>8</v>
      </c>
    </row>
    <row r="2924" spans="1:7" ht="264" customHeight="1">
      <c r="A2924" s="2">
        <v>975</v>
      </c>
      <c r="B2924" s="3" t="s">
        <v>1365</v>
      </c>
      <c r="C2924">
        <f>IMAGE("https://raw.githubusercontent.com/stautonico/tcg-livingdex/main/images/975/1.png", 2)</f>
        <v>0</v>
      </c>
      <c r="G2924" t="s">
        <v>9</v>
      </c>
    </row>
    <row r="2925" spans="1:7">
      <c r="C2925" s="4" t="s">
        <v>8</v>
      </c>
    </row>
    <row r="2927" spans="1:7" ht="264" customHeight="1">
      <c r="A2927" s="2">
        <v>976</v>
      </c>
      <c r="B2927" s="3" t="s">
        <v>1366</v>
      </c>
      <c r="C2927">
        <f>IMAGE("https://raw.githubusercontent.com/stautonico/tcg-livingdex/main/images/976/1.png", 2)</f>
        <v>0</v>
      </c>
      <c r="G2927" t="s">
        <v>9</v>
      </c>
    </row>
    <row r="2928" spans="1:7">
      <c r="C2928" s="4" t="s">
        <v>8</v>
      </c>
    </row>
    <row r="2930" spans="1:7" ht="264" customHeight="1">
      <c r="A2930" s="2">
        <v>977</v>
      </c>
      <c r="B2930" s="3" t="s">
        <v>1367</v>
      </c>
      <c r="C2930">
        <f>IMAGE("https://raw.githubusercontent.com/stautonico/tcg-livingdex/main/images/977/1.png", 2)</f>
        <v>0</v>
      </c>
      <c r="G2930" t="s">
        <v>9</v>
      </c>
    </row>
    <row r="2931" spans="1:7">
      <c r="C2931" s="4" t="s">
        <v>8</v>
      </c>
    </row>
    <row r="2933" spans="1:7" ht="264" customHeight="1">
      <c r="A2933" s="2">
        <v>978</v>
      </c>
      <c r="B2933" s="3" t="s">
        <v>1368</v>
      </c>
      <c r="C2933">
        <f>IMAGE("https://raw.githubusercontent.com/stautonico/tcg-livingdex/main/images/978/1.png", 2)</f>
        <v>0</v>
      </c>
      <c r="D2933">
        <f>IMAGE("https://raw.githubusercontent.com/stautonico/tcg-livingdex/main/images/978/2.png", 2)</f>
        <v>0</v>
      </c>
      <c r="E2933">
        <f>IMAGE("https://raw.githubusercontent.com/stautonico/tcg-livingdex/main/images/978/3.png", 2)</f>
        <v>0</v>
      </c>
      <c r="F2933">
        <f>IMAGE("https://raw.githubusercontent.com/stautonico/tcg-livingdex/main/images/978/4.png", 2)</f>
        <v>0</v>
      </c>
      <c r="G2933" t="s">
        <v>9</v>
      </c>
    </row>
    <row r="2934" spans="1:7">
      <c r="C2934" s="4" t="s">
        <v>1369</v>
      </c>
      <c r="D2934" s="4" t="s">
        <v>1370</v>
      </c>
      <c r="E2934" s="4" t="s">
        <v>1371</v>
      </c>
      <c r="F2934" s="4" t="s">
        <v>1372</v>
      </c>
    </row>
    <row r="2936" spans="1:7" ht="264" customHeight="1">
      <c r="A2936" s="2">
        <v>979</v>
      </c>
      <c r="B2936" s="3" t="s">
        <v>1373</v>
      </c>
      <c r="C2936">
        <f>IMAGE("https://raw.githubusercontent.com/stautonico/tcg-livingdex/main/images/979/1.png", 2)</f>
        <v>0</v>
      </c>
      <c r="G2936" t="s">
        <v>9</v>
      </c>
    </row>
    <row r="2937" spans="1:7">
      <c r="C2937" s="4" t="s">
        <v>8</v>
      </c>
    </row>
    <row r="2939" spans="1:7" ht="264" customHeight="1">
      <c r="A2939" s="2">
        <v>980</v>
      </c>
      <c r="B2939" s="3" t="s">
        <v>1374</v>
      </c>
      <c r="C2939">
        <f>IMAGE("https://raw.githubusercontent.com/stautonico/tcg-livingdex/main/images/980/1.png", 2)</f>
        <v>0</v>
      </c>
      <c r="G2939" t="s">
        <v>9</v>
      </c>
    </row>
    <row r="2940" spans="1:7">
      <c r="C2940" s="4" t="s">
        <v>8</v>
      </c>
    </row>
    <row r="2942" spans="1:7" ht="264" customHeight="1">
      <c r="A2942" s="2">
        <v>981</v>
      </c>
      <c r="B2942" s="3" t="s">
        <v>1375</v>
      </c>
      <c r="C2942">
        <f>IMAGE("https://raw.githubusercontent.com/stautonico/tcg-livingdex/main/images/981/1.png", 2)</f>
        <v>0</v>
      </c>
      <c r="D2942">
        <f>IMAGE("https://raw.githubusercontent.com/stautonico/tcg-livingdex/main/images/981/2.png", 2)</f>
        <v>0</v>
      </c>
      <c r="E2942">
        <f>IMAGE("https://raw.githubusercontent.com/stautonico/tcg-livingdex/main/images/981/3.png", 2)</f>
        <v>0</v>
      </c>
      <c r="F2942">
        <f>IMAGE("https://raw.githubusercontent.com/stautonico/tcg-livingdex/main/images/981/4.png", 2)</f>
        <v>0</v>
      </c>
      <c r="G2942" t="s">
        <v>9</v>
      </c>
    </row>
    <row r="2943" spans="1:7">
      <c r="C2943" s="4" t="s">
        <v>1376</v>
      </c>
      <c r="D2943" s="4" t="s">
        <v>1377</v>
      </c>
      <c r="E2943" s="4" t="s">
        <v>1378</v>
      </c>
      <c r="F2943" s="4" t="s">
        <v>1379</v>
      </c>
    </row>
    <row r="2945" spans="1:7" ht="264" customHeight="1">
      <c r="A2945" s="2">
        <v>982</v>
      </c>
      <c r="B2945" s="3" t="s">
        <v>1380</v>
      </c>
      <c r="C2945">
        <f>IMAGE("https://raw.githubusercontent.com/stautonico/tcg-livingdex/main/images/982/1.png", 2)</f>
        <v>0</v>
      </c>
      <c r="G2945" t="s">
        <v>9</v>
      </c>
    </row>
    <row r="2946" spans="1:7">
      <c r="C2946" s="4" t="s">
        <v>8</v>
      </c>
    </row>
    <row r="2948" spans="1:7" ht="264" customHeight="1">
      <c r="A2948" s="2">
        <v>983</v>
      </c>
      <c r="B2948" s="3" t="s">
        <v>1381</v>
      </c>
      <c r="C2948">
        <f>IMAGE("https://raw.githubusercontent.com/stautonico/tcg-livingdex/main/images/983/1.png", 2)</f>
        <v>0</v>
      </c>
      <c r="G2948" t="s">
        <v>9</v>
      </c>
    </row>
    <row r="2949" spans="1:7">
      <c r="C2949" s="4" t="s">
        <v>8</v>
      </c>
    </row>
    <row r="2951" spans="1:7" ht="264" customHeight="1">
      <c r="A2951" s="2">
        <v>984</v>
      </c>
      <c r="B2951" s="3" t="s">
        <v>1382</v>
      </c>
      <c r="C2951">
        <f>IMAGE("https://raw.githubusercontent.com/stautonico/tcg-livingdex/main/images/984/1.png", 2)</f>
        <v>0</v>
      </c>
      <c r="G2951" t="s">
        <v>9</v>
      </c>
    </row>
    <row r="2952" spans="1:7">
      <c r="C2952" s="4" t="s">
        <v>8</v>
      </c>
    </row>
    <row r="2954" spans="1:7" ht="264" customHeight="1">
      <c r="A2954" s="2">
        <v>985</v>
      </c>
      <c r="B2954" s="3" t="s">
        <v>1383</v>
      </c>
      <c r="C2954">
        <f>IMAGE("https://raw.githubusercontent.com/stautonico/tcg-livingdex/main/images/985/1.png", 2)</f>
        <v>0</v>
      </c>
      <c r="G2954" t="s">
        <v>9</v>
      </c>
    </row>
    <row r="2955" spans="1:7">
      <c r="C2955" s="4" t="s">
        <v>8</v>
      </c>
    </row>
    <row r="2957" spans="1:7" ht="264" customHeight="1">
      <c r="A2957" s="2">
        <v>986</v>
      </c>
      <c r="B2957" s="3" t="s">
        <v>1384</v>
      </c>
      <c r="C2957">
        <f>IMAGE("https://raw.githubusercontent.com/stautonico/tcg-livingdex/main/images/986/1.png", 2)</f>
        <v>0</v>
      </c>
      <c r="G2957" t="s">
        <v>9</v>
      </c>
    </row>
    <row r="2958" spans="1:7">
      <c r="C2958" s="4" t="s">
        <v>8</v>
      </c>
    </row>
    <row r="2960" spans="1:7" ht="264" customHeight="1">
      <c r="A2960" s="2">
        <v>987</v>
      </c>
      <c r="B2960" s="3" t="s">
        <v>1385</v>
      </c>
      <c r="C2960">
        <f>IMAGE("https://raw.githubusercontent.com/stautonico/tcg-livingdex/main/images/987/1.png", 2)</f>
        <v>0</v>
      </c>
      <c r="D2960">
        <f>IMAGE("https://raw.githubusercontent.com/stautonico/tcg-livingdex/main/images/987/2.png", 2)</f>
        <v>0</v>
      </c>
      <c r="G2960" t="s">
        <v>9</v>
      </c>
    </row>
    <row r="2961" spans="1:7">
      <c r="C2961" s="4" t="s">
        <v>1386</v>
      </c>
      <c r="D2961" s="4" t="s">
        <v>1387</v>
      </c>
    </row>
    <row r="2963" spans="1:7" ht="264" customHeight="1">
      <c r="A2963" s="2">
        <v>988</v>
      </c>
      <c r="B2963" s="3" t="s">
        <v>1388</v>
      </c>
      <c r="C2963">
        <f>IMAGE("https://raw.githubusercontent.com/stautonico/tcg-livingdex/main/images/988/1.png", 2)</f>
        <v>0</v>
      </c>
      <c r="G2963" t="s">
        <v>9</v>
      </c>
    </row>
    <row r="2964" spans="1:7">
      <c r="C2964" s="4" t="s">
        <v>8</v>
      </c>
    </row>
    <row r="2966" spans="1:7" ht="264" customHeight="1">
      <c r="A2966" s="2">
        <v>989</v>
      </c>
      <c r="B2966" s="3" t="s">
        <v>1389</v>
      </c>
      <c r="C2966">
        <f>IMAGE("https://raw.githubusercontent.com/stautonico/tcg-livingdex/main/images/989/1.png", 2)</f>
        <v>0</v>
      </c>
      <c r="G2966" t="s">
        <v>9</v>
      </c>
    </row>
    <row r="2967" spans="1:7">
      <c r="C2967" s="4" t="s">
        <v>8</v>
      </c>
    </row>
    <row r="2969" spans="1:7" ht="264" customHeight="1">
      <c r="A2969" s="2">
        <v>990</v>
      </c>
      <c r="B2969" s="3" t="s">
        <v>1390</v>
      </c>
      <c r="C2969">
        <f>IMAGE("https://raw.githubusercontent.com/stautonico/tcg-livingdex/main/images/990/1.png", 2)</f>
        <v>0</v>
      </c>
      <c r="G2969" t="s">
        <v>9</v>
      </c>
    </row>
    <row r="2970" spans="1:7">
      <c r="C2970" s="4" t="s">
        <v>8</v>
      </c>
    </row>
    <row r="2972" spans="1:7" ht="264" customHeight="1">
      <c r="A2972" s="2">
        <v>991</v>
      </c>
      <c r="B2972" s="3" t="s">
        <v>1391</v>
      </c>
      <c r="C2972">
        <f>IMAGE("https://raw.githubusercontent.com/stautonico/tcg-livingdex/main/images/991/1.png", 2)</f>
        <v>0</v>
      </c>
      <c r="G2972" t="s">
        <v>9</v>
      </c>
    </row>
    <row r="2973" spans="1:7">
      <c r="C2973" s="4" t="s">
        <v>8</v>
      </c>
    </row>
    <row r="2975" spans="1:7" ht="264" customHeight="1">
      <c r="A2975" s="2">
        <v>992</v>
      </c>
      <c r="B2975" s="3" t="s">
        <v>1392</v>
      </c>
      <c r="C2975">
        <f>IMAGE("https://raw.githubusercontent.com/stautonico/tcg-livingdex/main/images/992/1.png", 2)</f>
        <v>0</v>
      </c>
      <c r="G2975" t="s">
        <v>9</v>
      </c>
    </row>
    <row r="2976" spans="1:7">
      <c r="C2976" s="4" t="s">
        <v>8</v>
      </c>
    </row>
    <row r="2978" spans="1:7" ht="264" customHeight="1">
      <c r="A2978" s="2">
        <v>993</v>
      </c>
      <c r="B2978" s="3" t="s">
        <v>1393</v>
      </c>
      <c r="C2978">
        <f>IMAGE("https://raw.githubusercontent.com/stautonico/tcg-livingdex/main/images/993/1.png", 2)</f>
        <v>0</v>
      </c>
      <c r="G2978" t="s">
        <v>9</v>
      </c>
    </row>
    <row r="2979" spans="1:7">
      <c r="C2979" s="4" t="s">
        <v>8</v>
      </c>
    </row>
    <row r="2981" spans="1:7" ht="264" customHeight="1">
      <c r="A2981" s="2">
        <v>994</v>
      </c>
      <c r="B2981" s="3" t="s">
        <v>1394</v>
      </c>
      <c r="C2981">
        <f>IMAGE("https://raw.githubusercontent.com/stautonico/tcg-livingdex/main/images/994/1.png", 2)</f>
        <v>0</v>
      </c>
      <c r="G2981" t="s">
        <v>9</v>
      </c>
    </row>
    <row r="2982" spans="1:7">
      <c r="C2982" s="4" t="s">
        <v>8</v>
      </c>
    </row>
    <row r="2984" spans="1:7" ht="264" customHeight="1">
      <c r="A2984" s="2">
        <v>995</v>
      </c>
      <c r="B2984" s="3" t="s">
        <v>1395</v>
      </c>
      <c r="C2984">
        <f>IMAGE("https://raw.githubusercontent.com/stautonico/tcg-livingdex/main/images/995/1.png", 2)</f>
        <v>0</v>
      </c>
      <c r="G2984" t="s">
        <v>9</v>
      </c>
    </row>
    <row r="2985" spans="1:7">
      <c r="C2985" s="4" t="s">
        <v>8</v>
      </c>
    </row>
    <row r="2987" spans="1:7" ht="264" customHeight="1">
      <c r="A2987" s="2">
        <v>996</v>
      </c>
      <c r="B2987" s="3" t="s">
        <v>1396</v>
      </c>
      <c r="C2987">
        <f>IMAGE("https://raw.githubusercontent.com/stautonico/tcg-livingdex/main/images/996/1.png", 2)</f>
        <v>0</v>
      </c>
      <c r="G2987" t="s">
        <v>9</v>
      </c>
    </row>
    <row r="2988" spans="1:7">
      <c r="C2988" s="4" t="s">
        <v>8</v>
      </c>
    </row>
    <row r="2990" spans="1:7" ht="264" customHeight="1">
      <c r="A2990" s="2">
        <v>997</v>
      </c>
      <c r="B2990" s="3" t="s">
        <v>1397</v>
      </c>
      <c r="C2990">
        <f>IMAGE("https://raw.githubusercontent.com/stautonico/tcg-livingdex/main/images/997/1.png", 2)</f>
        <v>0</v>
      </c>
      <c r="G2990" t="s">
        <v>9</v>
      </c>
    </row>
    <row r="2991" spans="1:7">
      <c r="C2991" s="4" t="s">
        <v>8</v>
      </c>
    </row>
    <row r="2993" spans="1:7" ht="264" customHeight="1">
      <c r="A2993" s="2">
        <v>998</v>
      </c>
      <c r="B2993" s="3" t="s">
        <v>1398</v>
      </c>
      <c r="C2993">
        <f>IMAGE("https://raw.githubusercontent.com/stautonico/tcg-livingdex/main/images/998/1.png", 2)</f>
        <v>0</v>
      </c>
      <c r="G2993" t="s">
        <v>9</v>
      </c>
    </row>
    <row r="2994" spans="1:7">
      <c r="C2994" s="4" t="s">
        <v>8</v>
      </c>
    </row>
    <row r="2996" spans="1:7" ht="264" customHeight="1">
      <c r="A2996" s="2">
        <v>999</v>
      </c>
      <c r="B2996" s="3" t="s">
        <v>1399</v>
      </c>
      <c r="C2996">
        <f>IMAGE("https://raw.githubusercontent.com/stautonico/tcg-livingdex/main/images/999/1.png", 2)</f>
        <v>0</v>
      </c>
      <c r="G2996" t="s">
        <v>9</v>
      </c>
    </row>
    <row r="2997" spans="1:7">
      <c r="C2997" s="4" t="s">
        <v>8</v>
      </c>
    </row>
    <row r="2999" spans="1:7" ht="264" customHeight="1">
      <c r="A2999" s="2">
        <v>1000</v>
      </c>
      <c r="B2999" s="3" t="s">
        <v>1400</v>
      </c>
      <c r="C2999">
        <f>IMAGE("https://raw.githubusercontent.com/stautonico/tcg-livingdex/main/images/1000/1.png", 2)</f>
        <v>0</v>
      </c>
      <c r="G2999" t="s">
        <v>9</v>
      </c>
    </row>
    <row r="3000" spans="1:7">
      <c r="C3000" s="4" t="s">
        <v>8</v>
      </c>
    </row>
    <row r="3002" spans="1:7" ht="264" customHeight="1">
      <c r="A3002" s="2">
        <v>1001</v>
      </c>
      <c r="B3002" s="3" t="s">
        <v>1401</v>
      </c>
      <c r="C3002">
        <f>IMAGE("https://raw.githubusercontent.com/stautonico/tcg-livingdex/main/images/1001/1.png", 2)</f>
        <v>0</v>
      </c>
      <c r="G3002" t="s">
        <v>9</v>
      </c>
    </row>
    <row r="3003" spans="1:7">
      <c r="C3003" s="4" t="s">
        <v>8</v>
      </c>
    </row>
    <row r="3005" spans="1:7" ht="264" customHeight="1">
      <c r="A3005" s="2">
        <v>1002</v>
      </c>
      <c r="B3005" s="3" t="s">
        <v>1402</v>
      </c>
      <c r="C3005">
        <f>IMAGE("https://raw.githubusercontent.com/stautonico/tcg-livingdex/main/images/1002/1.png", 2)</f>
        <v>0</v>
      </c>
      <c r="G3005" t="s">
        <v>9</v>
      </c>
    </row>
    <row r="3006" spans="1:7">
      <c r="C3006" s="4" t="s">
        <v>8</v>
      </c>
    </row>
    <row r="3008" spans="1:7" ht="264" customHeight="1">
      <c r="A3008" s="2">
        <v>1003</v>
      </c>
      <c r="B3008" s="3" t="s">
        <v>1403</v>
      </c>
      <c r="C3008">
        <f>IMAGE("https://raw.githubusercontent.com/stautonico/tcg-livingdex/main/images/1003/1.png", 2)</f>
        <v>0</v>
      </c>
      <c r="G3008" t="s">
        <v>9</v>
      </c>
    </row>
    <row r="3009" spans="1:7">
      <c r="C3009" s="4" t="s">
        <v>8</v>
      </c>
    </row>
    <row r="3011" spans="1:7" ht="264" customHeight="1">
      <c r="A3011" s="2">
        <v>1004</v>
      </c>
      <c r="B3011" s="3" t="s">
        <v>1404</v>
      </c>
      <c r="C3011">
        <f>IMAGE("https://raw.githubusercontent.com/stautonico/tcg-livingdex/main/images/1004/1.png", 2)</f>
        <v>0</v>
      </c>
      <c r="G3011" t="s">
        <v>9</v>
      </c>
    </row>
    <row r="3012" spans="1:7">
      <c r="C3012" s="4" t="s">
        <v>8</v>
      </c>
    </row>
    <row r="3014" spans="1:7" ht="264" customHeight="1">
      <c r="A3014" s="2">
        <v>1005</v>
      </c>
      <c r="B3014" s="3" t="s">
        <v>1405</v>
      </c>
      <c r="C3014">
        <f>IMAGE("https://raw.githubusercontent.com/stautonico/tcg-livingdex/main/images/1005/1.png", 2)</f>
        <v>0</v>
      </c>
      <c r="G3014" t="s">
        <v>9</v>
      </c>
    </row>
    <row r="3015" spans="1:7">
      <c r="C3015" s="4" t="s">
        <v>8</v>
      </c>
    </row>
    <row r="3017" spans="1:7" ht="264" customHeight="1">
      <c r="A3017" s="2">
        <v>1006</v>
      </c>
      <c r="B3017" s="3" t="s">
        <v>1406</v>
      </c>
      <c r="C3017">
        <f>IMAGE("https://raw.githubusercontent.com/stautonico/tcg-livingdex/main/images/1006/1.png", 2)</f>
        <v>0</v>
      </c>
      <c r="D3017">
        <f>IMAGE("https://raw.githubusercontent.com/stautonico/tcg-livingdex/main/images/1006/2.png", 2)</f>
        <v>0</v>
      </c>
      <c r="E3017">
        <f>IMAGE("https://raw.githubusercontent.com/stautonico/tcg-livingdex/main/images/1006/3.png", 2)</f>
        <v>0</v>
      </c>
      <c r="F3017">
        <f>IMAGE("https://raw.githubusercontent.com/stautonico/tcg-livingdex/main/images/1006/4.png", 2)</f>
        <v>0</v>
      </c>
      <c r="G3017" t="s">
        <v>9</v>
      </c>
    </row>
    <row r="3018" spans="1:7">
      <c r="C3018" s="4" t="s">
        <v>1407</v>
      </c>
      <c r="D3018" s="4" t="s">
        <v>1408</v>
      </c>
      <c r="E3018" s="4" t="s">
        <v>1409</v>
      </c>
      <c r="F3018" s="4" t="s">
        <v>1410</v>
      </c>
    </row>
    <row r="3020" spans="1:7" ht="264" customHeight="1">
      <c r="A3020" s="2">
        <v>1007</v>
      </c>
      <c r="B3020" s="3" t="s">
        <v>1411</v>
      </c>
      <c r="C3020">
        <f>IMAGE("https://raw.githubusercontent.com/stautonico/tcg-livingdex/main/images/1007/1.png", 2)</f>
        <v>0</v>
      </c>
      <c r="G3020" t="s">
        <v>9</v>
      </c>
    </row>
    <row r="3021" spans="1:7">
      <c r="C3021" s="4" t="s">
        <v>8</v>
      </c>
    </row>
    <row r="3023" spans="1:7" ht="264" customHeight="1">
      <c r="A3023" s="2">
        <v>1008</v>
      </c>
      <c r="B3023" s="3" t="s">
        <v>1412</v>
      </c>
      <c r="C3023">
        <f>IMAGE("https://raw.githubusercontent.com/stautonico/tcg-livingdex/main/images/1008/1.png", 2)</f>
        <v>0</v>
      </c>
      <c r="G3023" t="s">
        <v>9</v>
      </c>
    </row>
    <row r="3024" spans="1:7">
      <c r="C3024" s="4" t="s">
        <v>8</v>
      </c>
    </row>
    <row r="3026" spans="1:7" ht="264" customHeight="1">
      <c r="A3026" s="2">
        <v>1009</v>
      </c>
      <c r="B3026" s="3" t="s">
        <v>1413</v>
      </c>
      <c r="C3026">
        <f>IMAGE("https://raw.githubusercontent.com/stautonico/tcg-livingdex/main/images/1009/1.png", 2)</f>
        <v>0</v>
      </c>
      <c r="G3026" t="s">
        <v>9</v>
      </c>
    </row>
    <row r="3027" spans="1:7">
      <c r="C3027" s="4" t="s">
        <v>8</v>
      </c>
    </row>
    <row r="3029" spans="1:7" ht="264" customHeight="1">
      <c r="A3029" s="2">
        <v>1010</v>
      </c>
      <c r="B3029" s="3" t="s">
        <v>1414</v>
      </c>
      <c r="C3029">
        <f>IMAGE("https://raw.githubusercontent.com/stautonico/tcg-livingdex/main/images/1010/1.png", 2)</f>
        <v>0</v>
      </c>
      <c r="G3029" t="s">
        <v>9</v>
      </c>
    </row>
    <row r="3030" spans="1:7">
      <c r="C3030" s="4" t="s">
        <v>8</v>
      </c>
    </row>
    <row r="3032" spans="1:7" ht="264" customHeight="1">
      <c r="A3032" s="2">
        <v>1011</v>
      </c>
      <c r="B3032" s="3" t="s">
        <v>1415</v>
      </c>
      <c r="C3032">
        <f>IMAGE("https://raw.githubusercontent.com/stautonico/tcg-livingdex/main/images/1011/1.png", 2)</f>
        <v>0</v>
      </c>
      <c r="G3032" t="s">
        <v>9</v>
      </c>
    </row>
    <row r="3033" spans="1:7">
      <c r="C3033" s="4" t="s">
        <v>1416</v>
      </c>
    </row>
    <row r="3035" spans="1:7" ht="264" customHeight="1">
      <c r="A3035" s="2">
        <v>1012</v>
      </c>
      <c r="B3035" s="3" t="s">
        <v>1417</v>
      </c>
      <c r="C3035">
        <f>IMAGE("https://raw.githubusercontent.com/stautonico/tcg-livingdex/main/images/1012/1.png", 2)</f>
        <v>0</v>
      </c>
      <c r="G3035" t="s">
        <v>9</v>
      </c>
    </row>
    <row r="3036" spans="1:7">
      <c r="C3036" s="4" t="s">
        <v>8</v>
      </c>
    </row>
    <row r="3038" spans="1:7" ht="264" customHeight="1">
      <c r="A3038" s="2">
        <v>1013</v>
      </c>
      <c r="B3038" s="3" t="s">
        <v>1418</v>
      </c>
      <c r="C3038">
        <f>IMAGE("https://raw.githubusercontent.com/stautonico/tcg-livingdex/main/images/1013/1.png", 2)</f>
        <v>0</v>
      </c>
      <c r="G3038" t="s">
        <v>9</v>
      </c>
    </row>
    <row r="3039" spans="1:7">
      <c r="C3039" s="4" t="s">
        <v>8</v>
      </c>
    </row>
    <row r="3041" spans="1:7" ht="264" customHeight="1">
      <c r="A3041" s="2">
        <v>1014</v>
      </c>
      <c r="B3041" s="3" t="s">
        <v>1419</v>
      </c>
      <c r="C3041">
        <f>IMAGE("https://raw.githubusercontent.com/stautonico/tcg-livingdex/main/images/1014/1.png", 2)</f>
        <v>0</v>
      </c>
      <c r="G3041" t="s">
        <v>9</v>
      </c>
    </row>
    <row r="3042" spans="1:7">
      <c r="C3042" s="4" t="s">
        <v>8</v>
      </c>
    </row>
    <row r="3044" spans="1:7" ht="264" customHeight="1">
      <c r="A3044" s="2">
        <v>1015</v>
      </c>
      <c r="B3044" s="3" t="s">
        <v>1420</v>
      </c>
      <c r="C3044">
        <f>IMAGE("https://raw.githubusercontent.com/stautonico/tcg-livingdex/main/images/1015/1.png", 2)</f>
        <v>0</v>
      </c>
      <c r="G3044" t="s">
        <v>9</v>
      </c>
    </row>
    <row r="3045" spans="1:7">
      <c r="C3045" s="4" t="s">
        <v>8</v>
      </c>
    </row>
    <row r="3047" spans="1:7" ht="264" customHeight="1">
      <c r="A3047" s="2">
        <v>1016</v>
      </c>
      <c r="B3047" s="3" t="s">
        <v>1421</v>
      </c>
      <c r="C3047">
        <f>IMAGE("https://raw.githubusercontent.com/stautonico/tcg-livingdex/main/images/1016/1.png", 2)</f>
        <v>0</v>
      </c>
      <c r="G3047" t="s">
        <v>9</v>
      </c>
    </row>
    <row r="3048" spans="1:7">
      <c r="C3048" s="4" t="s">
        <v>8</v>
      </c>
    </row>
    <row r="3050" spans="1:7" ht="264" customHeight="1">
      <c r="A3050" s="2">
        <v>1017</v>
      </c>
      <c r="B3050" s="3" t="s">
        <v>1422</v>
      </c>
      <c r="C3050">
        <f>IMAGE("https://raw.githubusercontent.com/stautonico/tcg-livingdex/main/images/1017/1.png", 2)</f>
        <v>0</v>
      </c>
      <c r="G3050" t="s">
        <v>9</v>
      </c>
    </row>
    <row r="3051" spans="1:7">
      <c r="C3051" s="4" t="s">
        <v>8</v>
      </c>
    </row>
    <row r="3053" spans="1:7" ht="264" customHeight="1">
      <c r="A3053" s="2">
        <v>1018</v>
      </c>
      <c r="B3053" s="3" t="s">
        <v>1423</v>
      </c>
      <c r="C3053">
        <f>IMAGE("https://raw.githubusercontent.com/stautonico/tcg-livingdex/main/images/1018/1.png", 2)</f>
        <v>0</v>
      </c>
      <c r="G3053" t="s">
        <v>9</v>
      </c>
    </row>
    <row r="3054" spans="1:7">
      <c r="C3054" s="4" t="s">
        <v>8</v>
      </c>
    </row>
    <row r="3056" spans="1:7" ht="264" customHeight="1">
      <c r="A3056" s="2">
        <v>1019</v>
      </c>
      <c r="B3056" s="3" t="s">
        <v>1424</v>
      </c>
      <c r="C3056">
        <f>IMAGE("https://raw.githubusercontent.com/stautonico/tcg-livingdex/main/images/1019/1.png", 2)</f>
        <v>0</v>
      </c>
      <c r="G3056" t="s">
        <v>9</v>
      </c>
    </row>
    <row r="3057" spans="1:7">
      <c r="C3057" s="4" t="s">
        <v>8</v>
      </c>
    </row>
    <row r="3059" spans="1:7" ht="264" customHeight="1">
      <c r="A3059" s="2">
        <v>1020</v>
      </c>
      <c r="B3059" s="3" t="s">
        <v>1425</v>
      </c>
      <c r="C3059">
        <f>IMAGE("https://raw.githubusercontent.com/stautonico/tcg-livingdex/main/images/1020/1.png", 2)</f>
        <v>0</v>
      </c>
      <c r="G3059" t="s">
        <v>9</v>
      </c>
    </row>
    <row r="3060" spans="1:7">
      <c r="C3060" s="4" t="s">
        <v>8</v>
      </c>
    </row>
    <row r="3062" spans="1:7" ht="264" customHeight="1">
      <c r="A3062" s="2">
        <v>1021</v>
      </c>
      <c r="B3062" s="3" t="s">
        <v>1426</v>
      </c>
      <c r="C3062">
        <f>IMAGE("https://raw.githubusercontent.com/stautonico/tcg-livingdex/main/images/1021/1.png", 2)</f>
        <v>0</v>
      </c>
      <c r="G3062" t="s">
        <v>9</v>
      </c>
    </row>
    <row r="3063" spans="1:7">
      <c r="C3063" s="4" t="s">
        <v>8</v>
      </c>
    </row>
    <row r="3065" spans="1:7" ht="264" customHeight="1">
      <c r="A3065" s="2">
        <v>1022</v>
      </c>
      <c r="B3065" s="3" t="s">
        <v>1427</v>
      </c>
      <c r="C3065">
        <f>IMAGE("https://raw.githubusercontent.com/stautonico/tcg-livingdex/main/images/1022/1.png", 2)</f>
        <v>0</v>
      </c>
      <c r="G3065" t="s">
        <v>9</v>
      </c>
    </row>
    <row r="3066" spans="1:7">
      <c r="C3066" s="4" t="s">
        <v>8</v>
      </c>
    </row>
    <row r="3068" spans="1:7" ht="264" customHeight="1">
      <c r="A3068" s="2">
        <v>1023</v>
      </c>
      <c r="B3068" s="3" t="s">
        <v>1428</v>
      </c>
      <c r="C3068">
        <f>IMAGE("https://raw.githubusercontent.com/stautonico/tcg-livingdex/main/images/1023/1.png", 2)</f>
        <v>0</v>
      </c>
      <c r="G3068" t="s">
        <v>9</v>
      </c>
    </row>
    <row r="3069" spans="1:7">
      <c r="C3069" s="4" t="s">
        <v>8</v>
      </c>
    </row>
    <row r="3071" spans="1:7" ht="264" customHeight="1">
      <c r="A3071" s="2">
        <v>1024</v>
      </c>
      <c r="B3071" s="3" t="s">
        <v>1429</v>
      </c>
      <c r="C3071">
        <f>IMAGE("https://raw.githubusercontent.com/stautonico/tcg-livingdex/main/images/1024/1.png", 2)</f>
        <v>0</v>
      </c>
      <c r="G3071" t="s">
        <v>9</v>
      </c>
    </row>
    <row r="3072" spans="1:7">
      <c r="C3072" s="4" t="s">
        <v>8</v>
      </c>
    </row>
    <row r="3074" spans="1:7" ht="264" customHeight="1">
      <c r="A3074" s="2">
        <v>1025</v>
      </c>
      <c r="B3074" s="3" t="s">
        <v>1430</v>
      </c>
      <c r="C3074">
        <f>IMAGE("https://raw.githubusercontent.com/stautonico/tcg-livingdex/main/images/1025/1.png", 2)</f>
        <v>0</v>
      </c>
      <c r="G3074" t="s">
        <v>9</v>
      </c>
    </row>
    <row r="3075" spans="1:7">
      <c r="C3075" s="4" t="s">
        <v>8</v>
      </c>
    </row>
  </sheetData>
  <conditionalFormatting sqref="A1001:G1001">
    <cfRule type="expression" dxfId="0" priority="667">
      <formula>COUNTIF($G1001, "TRUE") = 1</formula>
    </cfRule>
    <cfRule type="expression" dxfId="1" priority="668">
      <formula>COUNTIF($G1001, "FALSE") = 1</formula>
    </cfRule>
  </conditionalFormatting>
  <conditionalFormatting sqref="A1004:G1004">
    <cfRule type="expression" dxfId="0" priority="669">
      <formula>COUNTIF($G1004, "TRUE") = 1</formula>
    </cfRule>
    <cfRule type="expression" dxfId="1" priority="670">
      <formula>COUNTIF($G1004, "FALSE") = 1</formula>
    </cfRule>
  </conditionalFormatting>
  <conditionalFormatting sqref="A1007:G1007">
    <cfRule type="expression" dxfId="0" priority="671">
      <formula>COUNTIF($G1007, "TRUE") = 1</formula>
    </cfRule>
    <cfRule type="expression" dxfId="1" priority="672">
      <formula>COUNTIF($G1007, "FALSE") = 1</formula>
    </cfRule>
  </conditionalFormatting>
  <conditionalFormatting sqref="A1010:G1010">
    <cfRule type="expression" dxfId="0" priority="673">
      <formula>COUNTIF($G1010, "TRUE") = 1</formula>
    </cfRule>
    <cfRule type="expression" dxfId="1" priority="674">
      <formula>COUNTIF($G1010, "FALSE") = 1</formula>
    </cfRule>
  </conditionalFormatting>
  <conditionalFormatting sqref="A1013:G1013">
    <cfRule type="expression" dxfId="0" priority="675">
      <formula>COUNTIF($G1013, "TRUE") = 1</formula>
    </cfRule>
    <cfRule type="expression" dxfId="1" priority="676">
      <formula>COUNTIF($G1013, "FALSE") = 1</formula>
    </cfRule>
  </conditionalFormatting>
  <conditionalFormatting sqref="A1016:G1016">
    <cfRule type="expression" dxfId="0" priority="677">
      <formula>COUNTIF($G1016, "TRUE") = 1</formula>
    </cfRule>
    <cfRule type="expression" dxfId="1" priority="678">
      <formula>COUNTIF($G1016, "FALSE") = 1</formula>
    </cfRule>
  </conditionalFormatting>
  <conditionalFormatting sqref="A1019:G1019">
    <cfRule type="expression" dxfId="0" priority="679">
      <formula>COUNTIF($G1019, "TRUE") = 1</formula>
    </cfRule>
    <cfRule type="expression" dxfId="1" priority="680">
      <formula>COUNTIF($G1019, "FALSE") = 1</formula>
    </cfRule>
  </conditionalFormatting>
  <conditionalFormatting sqref="A101:G101">
    <cfRule type="expression" dxfId="0" priority="67">
      <formula>COUNTIF($G101, "TRUE") = 1</formula>
    </cfRule>
    <cfRule type="expression" dxfId="1" priority="68">
      <formula>COUNTIF($G101, "FALSE") = 1</formula>
    </cfRule>
  </conditionalFormatting>
  <conditionalFormatting sqref="A1022:G1022">
    <cfRule type="expression" dxfId="0" priority="681">
      <formula>COUNTIF($G1022, "TRUE") = 1</formula>
    </cfRule>
    <cfRule type="expression" dxfId="1" priority="682">
      <formula>COUNTIF($G1022, "FALSE") = 1</formula>
    </cfRule>
  </conditionalFormatting>
  <conditionalFormatting sqref="A1025:G1025">
    <cfRule type="expression" dxfId="0" priority="683">
      <formula>COUNTIF($G1025, "TRUE") = 1</formula>
    </cfRule>
    <cfRule type="expression" dxfId="1" priority="684">
      <formula>COUNTIF($G1025, "FALSE") = 1</formula>
    </cfRule>
  </conditionalFormatting>
  <conditionalFormatting sqref="A1028:G1028">
    <cfRule type="expression" dxfId="0" priority="685">
      <formula>COUNTIF($G1028, "TRUE") = 1</formula>
    </cfRule>
    <cfRule type="expression" dxfId="1" priority="686">
      <formula>COUNTIF($G1028, "FALSE") = 1</formula>
    </cfRule>
  </conditionalFormatting>
  <conditionalFormatting sqref="A1031:G1031">
    <cfRule type="expression" dxfId="0" priority="687">
      <formula>COUNTIF($G1031, "TRUE") = 1</formula>
    </cfRule>
    <cfRule type="expression" dxfId="1" priority="688">
      <formula>COUNTIF($G1031, "FALSE") = 1</formula>
    </cfRule>
  </conditionalFormatting>
  <conditionalFormatting sqref="A1034:G1034">
    <cfRule type="expression" dxfId="0" priority="689">
      <formula>COUNTIF($G1034, "TRUE") = 1</formula>
    </cfRule>
    <cfRule type="expression" dxfId="1" priority="690">
      <formula>COUNTIF($G1034, "FALSE") = 1</formula>
    </cfRule>
  </conditionalFormatting>
  <conditionalFormatting sqref="A1037:G1037">
    <cfRule type="expression" dxfId="0" priority="691">
      <formula>COUNTIF($G1037, "TRUE") = 1</formula>
    </cfRule>
    <cfRule type="expression" dxfId="1" priority="692">
      <formula>COUNTIF($G1037, "FALSE") = 1</formula>
    </cfRule>
  </conditionalFormatting>
  <conditionalFormatting sqref="A1040:G1040">
    <cfRule type="expression" dxfId="0" priority="693">
      <formula>COUNTIF($G1040, "TRUE") = 1</formula>
    </cfRule>
    <cfRule type="expression" dxfId="1" priority="694">
      <formula>COUNTIF($G1040, "FALSE") = 1</formula>
    </cfRule>
  </conditionalFormatting>
  <conditionalFormatting sqref="A1043:G1043">
    <cfRule type="expression" dxfId="0" priority="695">
      <formula>COUNTIF($G1043, "TRUE") = 1</formula>
    </cfRule>
    <cfRule type="expression" dxfId="1" priority="696">
      <formula>COUNTIF($G1043, "FALSE") = 1</formula>
    </cfRule>
  </conditionalFormatting>
  <conditionalFormatting sqref="A1046:G1046">
    <cfRule type="expression" dxfId="0" priority="697">
      <formula>COUNTIF($G1046, "TRUE") = 1</formula>
    </cfRule>
    <cfRule type="expression" dxfId="1" priority="698">
      <formula>COUNTIF($G1046, "FALSE") = 1</formula>
    </cfRule>
  </conditionalFormatting>
  <conditionalFormatting sqref="A1049:G1049">
    <cfRule type="expression" dxfId="0" priority="699">
      <formula>COUNTIF($G1049, "TRUE") = 1</formula>
    </cfRule>
    <cfRule type="expression" dxfId="1" priority="700">
      <formula>COUNTIF($G1049, "FALSE") = 1</formula>
    </cfRule>
  </conditionalFormatting>
  <conditionalFormatting sqref="A104:G104">
    <cfRule type="expression" dxfId="0" priority="69">
      <formula>COUNTIF($G104, "TRUE") = 1</formula>
    </cfRule>
    <cfRule type="expression" dxfId="1" priority="70">
      <formula>COUNTIF($G104, "FALSE") = 1</formula>
    </cfRule>
  </conditionalFormatting>
  <conditionalFormatting sqref="A1052:G1052">
    <cfRule type="expression" dxfId="0" priority="701">
      <formula>COUNTIF($G1052, "TRUE") = 1</formula>
    </cfRule>
    <cfRule type="expression" dxfId="1" priority="702">
      <formula>COUNTIF($G1052, "FALSE") = 1</formula>
    </cfRule>
  </conditionalFormatting>
  <conditionalFormatting sqref="A1055:G1055">
    <cfRule type="expression" dxfId="0" priority="703">
      <formula>COUNTIF($G1055, "TRUE") = 1</formula>
    </cfRule>
    <cfRule type="expression" dxfId="1" priority="704">
      <formula>COUNTIF($G1055, "FALSE") = 1</formula>
    </cfRule>
  </conditionalFormatting>
  <conditionalFormatting sqref="A1058:G1058">
    <cfRule type="expression" dxfId="0" priority="705">
      <formula>COUNTIF($G1058, "TRUE") = 1</formula>
    </cfRule>
    <cfRule type="expression" dxfId="1" priority="706">
      <formula>COUNTIF($G1058, "FALSE") = 1</formula>
    </cfRule>
  </conditionalFormatting>
  <conditionalFormatting sqref="A1061:G1061">
    <cfRule type="expression" dxfId="0" priority="707">
      <formula>COUNTIF($G1061, "TRUE") = 1</formula>
    </cfRule>
    <cfRule type="expression" dxfId="1" priority="708">
      <formula>COUNTIF($G1061, "FALSE") = 1</formula>
    </cfRule>
  </conditionalFormatting>
  <conditionalFormatting sqref="A1064:G1064">
    <cfRule type="expression" dxfId="0" priority="709">
      <formula>COUNTIF($G1064, "TRUE") = 1</formula>
    </cfRule>
    <cfRule type="expression" dxfId="1" priority="710">
      <formula>COUNTIF($G1064, "FALSE") = 1</formula>
    </cfRule>
  </conditionalFormatting>
  <conditionalFormatting sqref="A1067:G1067">
    <cfRule type="expression" dxfId="0" priority="711">
      <formula>COUNTIF($G1067, "TRUE") = 1</formula>
    </cfRule>
    <cfRule type="expression" dxfId="1" priority="712">
      <formula>COUNTIF($G1067, "FALSE") = 1</formula>
    </cfRule>
  </conditionalFormatting>
  <conditionalFormatting sqref="A1070:G1070">
    <cfRule type="expression" dxfId="0" priority="713">
      <formula>COUNTIF($G1070, "TRUE") = 1</formula>
    </cfRule>
    <cfRule type="expression" dxfId="1" priority="714">
      <formula>COUNTIF($G1070, "FALSE") = 1</formula>
    </cfRule>
  </conditionalFormatting>
  <conditionalFormatting sqref="A1073:G1073">
    <cfRule type="expression" dxfId="0" priority="715">
      <formula>COUNTIF($G1073, "TRUE") = 1</formula>
    </cfRule>
    <cfRule type="expression" dxfId="1" priority="716">
      <formula>COUNTIF($G1073, "FALSE") = 1</formula>
    </cfRule>
  </conditionalFormatting>
  <conditionalFormatting sqref="A1076:G1076">
    <cfRule type="expression" dxfId="0" priority="717">
      <formula>COUNTIF($G1076, "TRUE") = 1</formula>
    </cfRule>
    <cfRule type="expression" dxfId="1" priority="718">
      <formula>COUNTIF($G1076, "FALSE") = 1</formula>
    </cfRule>
  </conditionalFormatting>
  <conditionalFormatting sqref="A1079:G1079">
    <cfRule type="expression" dxfId="0" priority="719">
      <formula>COUNTIF($G1079, "TRUE") = 1</formula>
    </cfRule>
    <cfRule type="expression" dxfId="1" priority="720">
      <formula>COUNTIF($G1079, "FALSE") = 1</formula>
    </cfRule>
  </conditionalFormatting>
  <conditionalFormatting sqref="A107:G107">
    <cfRule type="expression" dxfId="0" priority="71">
      <formula>COUNTIF($G107, "TRUE") = 1</formula>
    </cfRule>
    <cfRule type="expression" dxfId="1" priority="72">
      <formula>COUNTIF($G107, "FALSE") = 1</formula>
    </cfRule>
  </conditionalFormatting>
  <conditionalFormatting sqref="A1082:G1082">
    <cfRule type="expression" dxfId="0" priority="721">
      <formula>COUNTIF($G1082, "TRUE") = 1</formula>
    </cfRule>
    <cfRule type="expression" dxfId="1" priority="722">
      <formula>COUNTIF($G1082, "FALSE") = 1</formula>
    </cfRule>
  </conditionalFormatting>
  <conditionalFormatting sqref="A1085:G1085">
    <cfRule type="expression" dxfId="0" priority="723">
      <formula>COUNTIF($G1085, "TRUE") = 1</formula>
    </cfRule>
    <cfRule type="expression" dxfId="1" priority="724">
      <formula>COUNTIF($G1085, "FALSE") = 1</formula>
    </cfRule>
  </conditionalFormatting>
  <conditionalFormatting sqref="A1088:G1088">
    <cfRule type="expression" dxfId="0" priority="725">
      <formula>COUNTIF($G1088, "TRUE") = 1</formula>
    </cfRule>
    <cfRule type="expression" dxfId="1" priority="726">
      <formula>COUNTIF($G1088, "FALSE") = 1</formula>
    </cfRule>
  </conditionalFormatting>
  <conditionalFormatting sqref="A1091:G1091">
    <cfRule type="expression" dxfId="0" priority="727">
      <formula>COUNTIF($G1091, "TRUE") = 1</formula>
    </cfRule>
    <cfRule type="expression" dxfId="1" priority="728">
      <formula>COUNTIF($G1091, "FALSE") = 1</formula>
    </cfRule>
  </conditionalFormatting>
  <conditionalFormatting sqref="A1094:G1094">
    <cfRule type="expression" dxfId="0" priority="729">
      <formula>COUNTIF($G1094, "TRUE") = 1</formula>
    </cfRule>
    <cfRule type="expression" dxfId="1" priority="730">
      <formula>COUNTIF($G1094, "FALSE") = 1</formula>
    </cfRule>
  </conditionalFormatting>
  <conditionalFormatting sqref="A1097:G1097">
    <cfRule type="expression" dxfId="0" priority="731">
      <formula>COUNTIF($G1097, "TRUE") = 1</formula>
    </cfRule>
    <cfRule type="expression" dxfId="1" priority="732">
      <formula>COUNTIF($G1097, "FALSE") = 1</formula>
    </cfRule>
  </conditionalFormatting>
  <conditionalFormatting sqref="A1100:G1100">
    <cfRule type="expression" dxfId="0" priority="733">
      <formula>COUNTIF($G1100, "TRUE") = 1</formula>
    </cfRule>
    <cfRule type="expression" dxfId="1" priority="734">
      <formula>COUNTIF($G1100, "FALSE") = 1</formula>
    </cfRule>
  </conditionalFormatting>
  <conditionalFormatting sqref="A1103:G1103">
    <cfRule type="expression" dxfId="0" priority="735">
      <formula>COUNTIF($G1103, "TRUE") = 1</formula>
    </cfRule>
    <cfRule type="expression" dxfId="1" priority="736">
      <formula>COUNTIF($G1103, "FALSE") = 1</formula>
    </cfRule>
  </conditionalFormatting>
  <conditionalFormatting sqref="A1106:G1106">
    <cfRule type="expression" dxfId="0" priority="737">
      <formula>COUNTIF($G1106, "TRUE") = 1</formula>
    </cfRule>
    <cfRule type="expression" dxfId="1" priority="738">
      <formula>COUNTIF($G1106, "FALSE") = 1</formula>
    </cfRule>
  </conditionalFormatting>
  <conditionalFormatting sqref="A1109:G1109">
    <cfRule type="expression" dxfId="0" priority="739">
      <formula>COUNTIF($G1109, "TRUE") = 1</formula>
    </cfRule>
    <cfRule type="expression" dxfId="1" priority="740">
      <formula>COUNTIF($G1109, "FALSE") = 1</formula>
    </cfRule>
  </conditionalFormatting>
  <conditionalFormatting sqref="A110:G110">
    <cfRule type="expression" dxfId="0" priority="73">
      <formula>COUNTIF($G110, "TRUE") = 1</formula>
    </cfRule>
    <cfRule type="expression" dxfId="1" priority="74">
      <formula>COUNTIF($G110, "FALSE") = 1</formula>
    </cfRule>
  </conditionalFormatting>
  <conditionalFormatting sqref="A1112:G1112">
    <cfRule type="expression" dxfId="0" priority="741">
      <formula>COUNTIF($G1112, "TRUE") = 1</formula>
    </cfRule>
    <cfRule type="expression" dxfId="1" priority="742">
      <formula>COUNTIF($G1112, "FALSE") = 1</formula>
    </cfRule>
  </conditionalFormatting>
  <conditionalFormatting sqref="A1115:G1115">
    <cfRule type="expression" dxfId="0" priority="743">
      <formula>COUNTIF($G1115, "TRUE") = 1</formula>
    </cfRule>
    <cfRule type="expression" dxfId="1" priority="744">
      <formula>COUNTIF($G1115, "FALSE") = 1</formula>
    </cfRule>
  </conditionalFormatting>
  <conditionalFormatting sqref="A1118:G1118">
    <cfRule type="expression" dxfId="0" priority="745">
      <formula>COUNTIF($G1118, "TRUE") = 1</formula>
    </cfRule>
    <cfRule type="expression" dxfId="1" priority="746">
      <formula>COUNTIF($G1118, "FALSE") = 1</formula>
    </cfRule>
  </conditionalFormatting>
  <conditionalFormatting sqref="A1121:G1121">
    <cfRule type="expression" dxfId="0" priority="747">
      <formula>COUNTIF($G1121, "TRUE") = 1</formula>
    </cfRule>
    <cfRule type="expression" dxfId="1" priority="748">
      <formula>COUNTIF($G1121, "FALSE") = 1</formula>
    </cfRule>
  </conditionalFormatting>
  <conditionalFormatting sqref="A1124:G1124">
    <cfRule type="expression" dxfId="0" priority="749">
      <formula>COUNTIF($G1124, "TRUE") = 1</formula>
    </cfRule>
    <cfRule type="expression" dxfId="1" priority="750">
      <formula>COUNTIF($G1124, "FALSE") = 1</formula>
    </cfRule>
  </conditionalFormatting>
  <conditionalFormatting sqref="A1127:G1127">
    <cfRule type="expression" dxfId="0" priority="751">
      <formula>COUNTIF($G1127, "TRUE") = 1</formula>
    </cfRule>
    <cfRule type="expression" dxfId="1" priority="752">
      <formula>COUNTIF($G1127, "FALSE") = 1</formula>
    </cfRule>
  </conditionalFormatting>
  <conditionalFormatting sqref="A1130:G1130">
    <cfRule type="expression" dxfId="0" priority="753">
      <formula>COUNTIF($G1130, "TRUE") = 1</formula>
    </cfRule>
    <cfRule type="expression" dxfId="1" priority="754">
      <formula>COUNTIF($G1130, "FALSE") = 1</formula>
    </cfRule>
  </conditionalFormatting>
  <conditionalFormatting sqref="A1133:G1133">
    <cfRule type="expression" dxfId="0" priority="755">
      <formula>COUNTIF($G1133, "TRUE") = 1</formula>
    </cfRule>
    <cfRule type="expression" dxfId="1" priority="756">
      <formula>COUNTIF($G1133, "FALSE") = 1</formula>
    </cfRule>
  </conditionalFormatting>
  <conditionalFormatting sqref="A1136:G1136">
    <cfRule type="expression" dxfId="0" priority="757">
      <formula>COUNTIF($G1136, "TRUE") = 1</formula>
    </cfRule>
    <cfRule type="expression" dxfId="1" priority="758">
      <formula>COUNTIF($G1136, "FALSE") = 1</formula>
    </cfRule>
  </conditionalFormatting>
  <conditionalFormatting sqref="A1139:G1139">
    <cfRule type="expression" dxfId="0" priority="759">
      <formula>COUNTIF($G1139, "TRUE") = 1</formula>
    </cfRule>
    <cfRule type="expression" dxfId="1" priority="760">
      <formula>COUNTIF($G1139, "FALSE") = 1</formula>
    </cfRule>
  </conditionalFormatting>
  <conditionalFormatting sqref="A113:G113">
    <cfRule type="expression" dxfId="0" priority="75">
      <formula>COUNTIF($G113, "TRUE") = 1</formula>
    </cfRule>
    <cfRule type="expression" dxfId="1" priority="76">
      <formula>COUNTIF($G113, "FALSE") = 1</formula>
    </cfRule>
  </conditionalFormatting>
  <conditionalFormatting sqref="A1142:G1142">
    <cfRule type="expression" dxfId="0" priority="761">
      <formula>COUNTIF($G1142, "TRUE") = 1</formula>
    </cfRule>
    <cfRule type="expression" dxfId="1" priority="762">
      <formula>COUNTIF($G1142, "FALSE") = 1</formula>
    </cfRule>
  </conditionalFormatting>
  <conditionalFormatting sqref="A1145:G1145">
    <cfRule type="expression" dxfId="0" priority="763">
      <formula>COUNTIF($G1145, "TRUE") = 1</formula>
    </cfRule>
    <cfRule type="expression" dxfId="1" priority="764">
      <formula>COUNTIF($G1145, "FALSE") = 1</formula>
    </cfRule>
  </conditionalFormatting>
  <conditionalFormatting sqref="A1148:G1148">
    <cfRule type="expression" dxfId="0" priority="765">
      <formula>COUNTIF($G1148, "TRUE") = 1</formula>
    </cfRule>
    <cfRule type="expression" dxfId="1" priority="766">
      <formula>COUNTIF($G1148, "FALSE") = 1</formula>
    </cfRule>
  </conditionalFormatting>
  <conditionalFormatting sqref="A1151:G1151">
    <cfRule type="expression" dxfId="0" priority="767">
      <formula>COUNTIF($G1151, "TRUE") = 1</formula>
    </cfRule>
    <cfRule type="expression" dxfId="1" priority="768">
      <formula>COUNTIF($G1151, "FALSE") = 1</formula>
    </cfRule>
  </conditionalFormatting>
  <conditionalFormatting sqref="A1154:G1154">
    <cfRule type="expression" dxfId="0" priority="769">
      <formula>COUNTIF($G1154, "TRUE") = 1</formula>
    </cfRule>
    <cfRule type="expression" dxfId="1" priority="770">
      <formula>COUNTIF($G1154, "FALSE") = 1</formula>
    </cfRule>
  </conditionalFormatting>
  <conditionalFormatting sqref="A1157:G1157">
    <cfRule type="expression" dxfId="0" priority="771">
      <formula>COUNTIF($G1157, "TRUE") = 1</formula>
    </cfRule>
    <cfRule type="expression" dxfId="1" priority="772">
      <formula>COUNTIF($G1157, "FALSE") = 1</formula>
    </cfRule>
  </conditionalFormatting>
  <conditionalFormatting sqref="A1160:G1160">
    <cfRule type="expression" dxfId="0" priority="773">
      <formula>COUNTIF($G1160, "TRUE") = 1</formula>
    </cfRule>
    <cfRule type="expression" dxfId="1" priority="774">
      <formula>COUNTIF($G1160, "FALSE") = 1</formula>
    </cfRule>
  </conditionalFormatting>
  <conditionalFormatting sqref="A1163:G1163">
    <cfRule type="expression" dxfId="0" priority="775">
      <formula>COUNTIF($G1163, "TRUE") = 1</formula>
    </cfRule>
    <cfRule type="expression" dxfId="1" priority="776">
      <formula>COUNTIF($G1163, "FALSE") = 1</formula>
    </cfRule>
  </conditionalFormatting>
  <conditionalFormatting sqref="A1166:G1166">
    <cfRule type="expression" dxfId="0" priority="777">
      <formula>COUNTIF($G1166, "TRUE") = 1</formula>
    </cfRule>
    <cfRule type="expression" dxfId="1" priority="778">
      <formula>COUNTIF($G1166, "FALSE") = 1</formula>
    </cfRule>
  </conditionalFormatting>
  <conditionalFormatting sqref="A1169:G1169">
    <cfRule type="expression" dxfId="0" priority="779">
      <formula>COUNTIF($G1169, "TRUE") = 1</formula>
    </cfRule>
    <cfRule type="expression" dxfId="1" priority="780">
      <formula>COUNTIF($G1169, "FALSE") = 1</formula>
    </cfRule>
  </conditionalFormatting>
  <conditionalFormatting sqref="A116:G116">
    <cfRule type="expression" dxfId="0" priority="77">
      <formula>COUNTIF($G116, "TRUE") = 1</formula>
    </cfRule>
    <cfRule type="expression" dxfId="1" priority="78">
      <formula>COUNTIF($G116, "FALSE") = 1</formula>
    </cfRule>
  </conditionalFormatting>
  <conditionalFormatting sqref="A1172:G1172">
    <cfRule type="expression" dxfId="0" priority="781">
      <formula>COUNTIF($G1172, "TRUE") = 1</formula>
    </cfRule>
    <cfRule type="expression" dxfId="1" priority="782">
      <formula>COUNTIF($G1172, "FALSE") = 1</formula>
    </cfRule>
  </conditionalFormatting>
  <conditionalFormatting sqref="A1175:G1175">
    <cfRule type="expression" dxfId="0" priority="783">
      <formula>COUNTIF($G1175, "TRUE") = 1</formula>
    </cfRule>
    <cfRule type="expression" dxfId="1" priority="784">
      <formula>COUNTIF($G1175, "FALSE") = 1</formula>
    </cfRule>
  </conditionalFormatting>
  <conditionalFormatting sqref="A1178:G1178">
    <cfRule type="expression" dxfId="0" priority="785">
      <formula>COUNTIF($G1178, "TRUE") = 1</formula>
    </cfRule>
    <cfRule type="expression" dxfId="1" priority="786">
      <formula>COUNTIF($G1178, "FALSE") = 1</formula>
    </cfRule>
  </conditionalFormatting>
  <conditionalFormatting sqref="A1181:G1181">
    <cfRule type="expression" dxfId="0" priority="787">
      <formula>COUNTIF($G1181, "TRUE") = 1</formula>
    </cfRule>
    <cfRule type="expression" dxfId="1" priority="788">
      <formula>COUNTIF($G1181, "FALSE") = 1</formula>
    </cfRule>
  </conditionalFormatting>
  <conditionalFormatting sqref="A1184:G1184">
    <cfRule type="expression" dxfId="0" priority="789">
      <formula>COUNTIF($G1184, "TRUE") = 1</formula>
    </cfRule>
    <cfRule type="expression" dxfId="1" priority="790">
      <formula>COUNTIF($G1184, "FALSE") = 1</formula>
    </cfRule>
  </conditionalFormatting>
  <conditionalFormatting sqref="A1187:G1187">
    <cfRule type="expression" dxfId="0" priority="791">
      <formula>COUNTIF($G1187, "TRUE") = 1</formula>
    </cfRule>
    <cfRule type="expression" dxfId="1" priority="792">
      <formula>COUNTIF($G1187, "FALSE") = 1</formula>
    </cfRule>
  </conditionalFormatting>
  <conditionalFormatting sqref="A1190:G1190">
    <cfRule type="expression" dxfId="0" priority="793">
      <formula>COUNTIF($G1190, "TRUE") = 1</formula>
    </cfRule>
    <cfRule type="expression" dxfId="1" priority="794">
      <formula>COUNTIF($G1190, "FALSE") = 1</formula>
    </cfRule>
  </conditionalFormatting>
  <conditionalFormatting sqref="A1193:G1193">
    <cfRule type="expression" dxfId="0" priority="795">
      <formula>COUNTIF($G1193, "TRUE") = 1</formula>
    </cfRule>
    <cfRule type="expression" dxfId="1" priority="796">
      <formula>COUNTIF($G1193, "FALSE") = 1</formula>
    </cfRule>
  </conditionalFormatting>
  <conditionalFormatting sqref="A1196:G1196">
    <cfRule type="expression" dxfId="0" priority="797">
      <formula>COUNTIF($G1196, "TRUE") = 1</formula>
    </cfRule>
    <cfRule type="expression" dxfId="1" priority="798">
      <formula>COUNTIF($G1196, "FALSE") = 1</formula>
    </cfRule>
  </conditionalFormatting>
  <conditionalFormatting sqref="A1199:G1199">
    <cfRule type="expression" dxfId="0" priority="799">
      <formula>COUNTIF($G1199, "TRUE") = 1</formula>
    </cfRule>
    <cfRule type="expression" dxfId="1" priority="800">
      <formula>COUNTIF($G1199, "FALSE") = 1</formula>
    </cfRule>
  </conditionalFormatting>
  <conditionalFormatting sqref="A119:G119">
    <cfRule type="expression" dxfId="0" priority="79">
      <formula>COUNTIF($G119, "TRUE") = 1</formula>
    </cfRule>
    <cfRule type="expression" dxfId="1" priority="80">
      <formula>COUNTIF($G119, "FALSE") = 1</formula>
    </cfRule>
  </conditionalFormatting>
  <conditionalFormatting sqref="A11:G11">
    <cfRule type="expression" dxfId="0" priority="7">
      <formula>COUNTIF($G11, "TRUE") = 1</formula>
    </cfRule>
    <cfRule type="expression" dxfId="1" priority="8">
      <formula>COUNTIF($G11, "FALSE") = 1</formula>
    </cfRule>
  </conditionalFormatting>
  <conditionalFormatting sqref="A1202:G1202">
    <cfRule type="expression" dxfId="0" priority="801">
      <formula>COUNTIF($G1202, "TRUE") = 1</formula>
    </cfRule>
    <cfRule type="expression" dxfId="1" priority="802">
      <formula>COUNTIF($G1202, "FALSE") = 1</formula>
    </cfRule>
  </conditionalFormatting>
  <conditionalFormatting sqref="A1205:G1205">
    <cfRule type="expression" dxfId="0" priority="803">
      <formula>COUNTIF($G1205, "TRUE") = 1</formula>
    </cfRule>
    <cfRule type="expression" dxfId="1" priority="804">
      <formula>COUNTIF($G1205, "FALSE") = 1</formula>
    </cfRule>
  </conditionalFormatting>
  <conditionalFormatting sqref="A1208:G1208">
    <cfRule type="expression" dxfId="0" priority="805">
      <formula>COUNTIF($G1208, "TRUE") = 1</formula>
    </cfRule>
    <cfRule type="expression" dxfId="1" priority="806">
      <formula>COUNTIF($G1208, "FALSE") = 1</formula>
    </cfRule>
  </conditionalFormatting>
  <conditionalFormatting sqref="A1211:G1211">
    <cfRule type="expression" dxfId="0" priority="807">
      <formula>COUNTIF($G1211, "TRUE") = 1</formula>
    </cfRule>
    <cfRule type="expression" dxfId="1" priority="808">
      <formula>COUNTIF($G1211, "FALSE") = 1</formula>
    </cfRule>
  </conditionalFormatting>
  <conditionalFormatting sqref="A1214:G1214">
    <cfRule type="expression" dxfId="0" priority="809">
      <formula>COUNTIF($G1214, "TRUE") = 1</formula>
    </cfRule>
    <cfRule type="expression" dxfId="1" priority="810">
      <formula>COUNTIF($G1214, "FALSE") = 1</formula>
    </cfRule>
  </conditionalFormatting>
  <conditionalFormatting sqref="A1217:G1217">
    <cfRule type="expression" dxfId="0" priority="811">
      <formula>COUNTIF($G1217, "TRUE") = 1</formula>
    </cfRule>
    <cfRule type="expression" dxfId="1" priority="812">
      <formula>COUNTIF($G1217, "FALSE") = 1</formula>
    </cfRule>
  </conditionalFormatting>
  <conditionalFormatting sqref="A1220:G1220">
    <cfRule type="expression" dxfId="0" priority="813">
      <formula>COUNTIF($G1220, "TRUE") = 1</formula>
    </cfRule>
    <cfRule type="expression" dxfId="1" priority="814">
      <formula>COUNTIF($G1220, "FALSE") = 1</formula>
    </cfRule>
  </conditionalFormatting>
  <conditionalFormatting sqref="A1223:G1223">
    <cfRule type="expression" dxfId="0" priority="815">
      <formula>COUNTIF($G1223, "TRUE") = 1</formula>
    </cfRule>
    <cfRule type="expression" dxfId="1" priority="816">
      <formula>COUNTIF($G1223, "FALSE") = 1</formula>
    </cfRule>
  </conditionalFormatting>
  <conditionalFormatting sqref="A1226:G1226">
    <cfRule type="expression" dxfId="0" priority="817">
      <formula>COUNTIF($G1226, "TRUE") = 1</formula>
    </cfRule>
    <cfRule type="expression" dxfId="1" priority="818">
      <formula>COUNTIF($G1226, "FALSE") = 1</formula>
    </cfRule>
  </conditionalFormatting>
  <conditionalFormatting sqref="A1229:G1229">
    <cfRule type="expression" dxfId="0" priority="819">
      <formula>COUNTIF($G1229, "TRUE") = 1</formula>
    </cfRule>
    <cfRule type="expression" dxfId="1" priority="820">
      <formula>COUNTIF($G1229, "FALSE") = 1</formula>
    </cfRule>
  </conditionalFormatting>
  <conditionalFormatting sqref="A122:G122">
    <cfRule type="expression" dxfId="0" priority="81">
      <formula>COUNTIF($G122, "TRUE") = 1</formula>
    </cfRule>
    <cfRule type="expression" dxfId="1" priority="82">
      <formula>COUNTIF($G122, "FALSE") = 1</formula>
    </cfRule>
  </conditionalFormatting>
  <conditionalFormatting sqref="A1232:G1232">
    <cfRule type="expression" dxfId="0" priority="821">
      <formula>COUNTIF($G1232, "TRUE") = 1</formula>
    </cfRule>
    <cfRule type="expression" dxfId="1" priority="822">
      <formula>COUNTIF($G1232, "FALSE") = 1</formula>
    </cfRule>
  </conditionalFormatting>
  <conditionalFormatting sqref="A1235:G1235">
    <cfRule type="expression" dxfId="0" priority="823">
      <formula>COUNTIF($G1235, "TRUE") = 1</formula>
    </cfRule>
    <cfRule type="expression" dxfId="1" priority="824">
      <formula>COUNTIF($G1235, "FALSE") = 1</formula>
    </cfRule>
  </conditionalFormatting>
  <conditionalFormatting sqref="A1238:G1238">
    <cfRule type="expression" dxfId="0" priority="825">
      <formula>COUNTIF($G1238, "TRUE") = 1</formula>
    </cfRule>
    <cfRule type="expression" dxfId="1" priority="826">
      <formula>COUNTIF($G1238, "FALSE") = 1</formula>
    </cfRule>
  </conditionalFormatting>
  <conditionalFormatting sqref="A1241:G1241">
    <cfRule type="expression" dxfId="0" priority="827">
      <formula>COUNTIF($G1241, "TRUE") = 1</formula>
    </cfRule>
    <cfRule type="expression" dxfId="1" priority="828">
      <formula>COUNTIF($G1241, "FALSE") = 1</formula>
    </cfRule>
  </conditionalFormatting>
  <conditionalFormatting sqref="A1244:G1244">
    <cfRule type="expression" dxfId="0" priority="829">
      <formula>COUNTIF($G1244, "TRUE") = 1</formula>
    </cfRule>
    <cfRule type="expression" dxfId="1" priority="830">
      <formula>COUNTIF($G1244, "FALSE") = 1</formula>
    </cfRule>
  </conditionalFormatting>
  <conditionalFormatting sqref="A1247:G1247">
    <cfRule type="expression" dxfId="0" priority="831">
      <formula>COUNTIF($G1247, "TRUE") = 1</formula>
    </cfRule>
    <cfRule type="expression" dxfId="1" priority="832">
      <formula>COUNTIF($G1247, "FALSE") = 1</formula>
    </cfRule>
  </conditionalFormatting>
  <conditionalFormatting sqref="A1250:G1250">
    <cfRule type="expression" dxfId="0" priority="833">
      <formula>COUNTIF($G1250, "TRUE") = 1</formula>
    </cfRule>
    <cfRule type="expression" dxfId="1" priority="834">
      <formula>COUNTIF($G1250, "FALSE") = 1</formula>
    </cfRule>
  </conditionalFormatting>
  <conditionalFormatting sqref="A1253:G1253">
    <cfRule type="expression" dxfId="0" priority="835">
      <formula>COUNTIF($G1253, "TRUE") = 1</formula>
    </cfRule>
    <cfRule type="expression" dxfId="1" priority="836">
      <formula>COUNTIF($G1253, "FALSE") = 1</formula>
    </cfRule>
  </conditionalFormatting>
  <conditionalFormatting sqref="A1256:G1256">
    <cfRule type="expression" dxfId="0" priority="837">
      <formula>COUNTIF($G1256, "TRUE") = 1</formula>
    </cfRule>
    <cfRule type="expression" dxfId="1" priority="838">
      <formula>COUNTIF($G1256, "FALSE") = 1</formula>
    </cfRule>
  </conditionalFormatting>
  <conditionalFormatting sqref="A1259:G1259">
    <cfRule type="expression" dxfId="0" priority="839">
      <formula>COUNTIF($G1259, "TRUE") = 1</formula>
    </cfRule>
    <cfRule type="expression" dxfId="1" priority="840">
      <formula>COUNTIF($G1259, "FALSE") = 1</formula>
    </cfRule>
  </conditionalFormatting>
  <conditionalFormatting sqref="A125:G125">
    <cfRule type="expression" dxfId="0" priority="83">
      <formula>COUNTIF($G125, "TRUE") = 1</formula>
    </cfRule>
    <cfRule type="expression" dxfId="1" priority="84">
      <formula>COUNTIF($G125, "FALSE") = 1</formula>
    </cfRule>
  </conditionalFormatting>
  <conditionalFormatting sqref="A1262:G1262">
    <cfRule type="expression" dxfId="0" priority="841">
      <formula>COUNTIF($G1262, "TRUE") = 1</formula>
    </cfRule>
    <cfRule type="expression" dxfId="1" priority="842">
      <formula>COUNTIF($G1262, "FALSE") = 1</formula>
    </cfRule>
  </conditionalFormatting>
  <conditionalFormatting sqref="A1265:G1265">
    <cfRule type="expression" dxfId="0" priority="843">
      <formula>COUNTIF($G1265, "TRUE") = 1</formula>
    </cfRule>
    <cfRule type="expression" dxfId="1" priority="844">
      <formula>COUNTIF($G1265, "FALSE") = 1</formula>
    </cfRule>
  </conditionalFormatting>
  <conditionalFormatting sqref="A1268:G1268">
    <cfRule type="expression" dxfId="0" priority="845">
      <formula>COUNTIF($G1268, "TRUE") = 1</formula>
    </cfRule>
    <cfRule type="expression" dxfId="1" priority="846">
      <formula>COUNTIF($G1268, "FALSE") = 1</formula>
    </cfRule>
  </conditionalFormatting>
  <conditionalFormatting sqref="A1271:G1271">
    <cfRule type="expression" dxfId="0" priority="847">
      <formula>COUNTIF($G1271, "TRUE") = 1</formula>
    </cfRule>
    <cfRule type="expression" dxfId="1" priority="848">
      <formula>COUNTIF($G1271, "FALSE") = 1</formula>
    </cfRule>
  </conditionalFormatting>
  <conditionalFormatting sqref="A1274:G1274">
    <cfRule type="expression" dxfId="0" priority="849">
      <formula>COUNTIF($G1274, "TRUE") = 1</formula>
    </cfRule>
    <cfRule type="expression" dxfId="1" priority="850">
      <formula>COUNTIF($G1274, "FALSE") = 1</formula>
    </cfRule>
  </conditionalFormatting>
  <conditionalFormatting sqref="A1277:G1277">
    <cfRule type="expression" dxfId="0" priority="851">
      <formula>COUNTIF($G1277, "TRUE") = 1</formula>
    </cfRule>
    <cfRule type="expression" dxfId="1" priority="852">
      <formula>COUNTIF($G1277, "FALSE") = 1</formula>
    </cfRule>
  </conditionalFormatting>
  <conditionalFormatting sqref="A1280:G1280">
    <cfRule type="expression" dxfId="0" priority="853">
      <formula>COUNTIF($G1280, "TRUE") = 1</formula>
    </cfRule>
    <cfRule type="expression" dxfId="1" priority="854">
      <formula>COUNTIF($G1280, "FALSE") = 1</formula>
    </cfRule>
  </conditionalFormatting>
  <conditionalFormatting sqref="A1283:G1283">
    <cfRule type="expression" dxfId="0" priority="855">
      <formula>COUNTIF($G1283, "TRUE") = 1</formula>
    </cfRule>
    <cfRule type="expression" dxfId="1" priority="856">
      <formula>COUNTIF($G1283, "FALSE") = 1</formula>
    </cfRule>
  </conditionalFormatting>
  <conditionalFormatting sqref="A1286:G1286">
    <cfRule type="expression" dxfId="0" priority="857">
      <formula>COUNTIF($G1286, "TRUE") = 1</formula>
    </cfRule>
    <cfRule type="expression" dxfId="1" priority="858">
      <formula>COUNTIF($G1286, "FALSE") = 1</formula>
    </cfRule>
  </conditionalFormatting>
  <conditionalFormatting sqref="A1289:G1289">
    <cfRule type="expression" dxfId="0" priority="859">
      <formula>COUNTIF($G1289, "TRUE") = 1</formula>
    </cfRule>
    <cfRule type="expression" dxfId="1" priority="860">
      <formula>COUNTIF($G1289, "FALSE") = 1</formula>
    </cfRule>
  </conditionalFormatting>
  <conditionalFormatting sqref="A128:G128">
    <cfRule type="expression" dxfId="0" priority="85">
      <formula>COUNTIF($G128, "TRUE") = 1</formula>
    </cfRule>
    <cfRule type="expression" dxfId="1" priority="86">
      <formula>COUNTIF($G128, "FALSE") = 1</formula>
    </cfRule>
  </conditionalFormatting>
  <conditionalFormatting sqref="A1292:G1292">
    <cfRule type="expression" dxfId="0" priority="861">
      <formula>COUNTIF($G1292, "TRUE") = 1</formula>
    </cfRule>
    <cfRule type="expression" dxfId="1" priority="862">
      <formula>COUNTIF($G1292, "FALSE") = 1</formula>
    </cfRule>
  </conditionalFormatting>
  <conditionalFormatting sqref="A1295:G1295">
    <cfRule type="expression" dxfId="0" priority="863">
      <formula>COUNTIF($G1295, "TRUE") = 1</formula>
    </cfRule>
    <cfRule type="expression" dxfId="1" priority="864">
      <formula>COUNTIF($G1295, "FALSE") = 1</formula>
    </cfRule>
  </conditionalFormatting>
  <conditionalFormatting sqref="A1298:G1298">
    <cfRule type="expression" dxfId="0" priority="865">
      <formula>COUNTIF($G1298, "TRUE") = 1</formula>
    </cfRule>
    <cfRule type="expression" dxfId="1" priority="866">
      <formula>COUNTIF($G1298, "FALSE") = 1</formula>
    </cfRule>
  </conditionalFormatting>
  <conditionalFormatting sqref="A1301:G1301">
    <cfRule type="expression" dxfId="0" priority="867">
      <formula>COUNTIF($G1301, "TRUE") = 1</formula>
    </cfRule>
    <cfRule type="expression" dxfId="1" priority="868">
      <formula>COUNTIF($G1301, "FALSE") = 1</formula>
    </cfRule>
  </conditionalFormatting>
  <conditionalFormatting sqref="A1304:G1304">
    <cfRule type="expression" dxfId="0" priority="869">
      <formula>COUNTIF($G1304, "TRUE") = 1</formula>
    </cfRule>
    <cfRule type="expression" dxfId="1" priority="870">
      <formula>COUNTIF($G1304, "FALSE") = 1</formula>
    </cfRule>
  </conditionalFormatting>
  <conditionalFormatting sqref="A1307:G1307">
    <cfRule type="expression" dxfId="0" priority="871">
      <formula>COUNTIF($G1307, "TRUE") = 1</formula>
    </cfRule>
    <cfRule type="expression" dxfId="1" priority="872">
      <formula>COUNTIF($G1307, "FALSE") = 1</formula>
    </cfRule>
  </conditionalFormatting>
  <conditionalFormatting sqref="A1310:G1310">
    <cfRule type="expression" dxfId="0" priority="873">
      <formula>COUNTIF($G1310, "TRUE") = 1</formula>
    </cfRule>
    <cfRule type="expression" dxfId="1" priority="874">
      <formula>COUNTIF($G1310, "FALSE") = 1</formula>
    </cfRule>
  </conditionalFormatting>
  <conditionalFormatting sqref="A1313:G1313">
    <cfRule type="expression" dxfId="0" priority="875">
      <formula>COUNTIF($G1313, "TRUE") = 1</formula>
    </cfRule>
    <cfRule type="expression" dxfId="1" priority="876">
      <formula>COUNTIF($G1313, "FALSE") = 1</formula>
    </cfRule>
  </conditionalFormatting>
  <conditionalFormatting sqref="A1316:G1316">
    <cfRule type="expression" dxfId="0" priority="877">
      <formula>COUNTIF($G1316, "TRUE") = 1</formula>
    </cfRule>
    <cfRule type="expression" dxfId="1" priority="878">
      <formula>COUNTIF($G1316, "FALSE") = 1</formula>
    </cfRule>
  </conditionalFormatting>
  <conditionalFormatting sqref="A1319:G1319">
    <cfRule type="expression" dxfId="0" priority="879">
      <formula>COUNTIF($G1319, "TRUE") = 1</formula>
    </cfRule>
    <cfRule type="expression" dxfId="1" priority="880">
      <formula>COUNTIF($G1319, "FALSE") = 1</formula>
    </cfRule>
  </conditionalFormatting>
  <conditionalFormatting sqref="A131:G131">
    <cfRule type="expression" dxfId="0" priority="87">
      <formula>COUNTIF($G131, "TRUE") = 1</formula>
    </cfRule>
    <cfRule type="expression" dxfId="1" priority="88">
      <formula>COUNTIF($G131, "FALSE") = 1</formula>
    </cfRule>
  </conditionalFormatting>
  <conditionalFormatting sqref="A1322:G1322">
    <cfRule type="expression" dxfId="0" priority="881">
      <formula>COUNTIF($G1322, "TRUE") = 1</formula>
    </cfRule>
    <cfRule type="expression" dxfId="1" priority="882">
      <formula>COUNTIF($G1322, "FALSE") = 1</formula>
    </cfRule>
  </conditionalFormatting>
  <conditionalFormatting sqref="A1325:G1325">
    <cfRule type="expression" dxfId="0" priority="883">
      <formula>COUNTIF($G1325, "TRUE") = 1</formula>
    </cfRule>
    <cfRule type="expression" dxfId="1" priority="884">
      <formula>COUNTIF($G1325, "FALSE") = 1</formula>
    </cfRule>
  </conditionalFormatting>
  <conditionalFormatting sqref="A1328:G1328">
    <cfRule type="expression" dxfId="0" priority="885">
      <formula>COUNTIF($G1328, "TRUE") = 1</formula>
    </cfRule>
    <cfRule type="expression" dxfId="1" priority="886">
      <formula>COUNTIF($G1328, "FALSE") = 1</formula>
    </cfRule>
  </conditionalFormatting>
  <conditionalFormatting sqref="A1331:G1331">
    <cfRule type="expression" dxfId="0" priority="887">
      <formula>COUNTIF($G1331, "TRUE") = 1</formula>
    </cfRule>
    <cfRule type="expression" dxfId="1" priority="888">
      <formula>COUNTIF($G1331, "FALSE") = 1</formula>
    </cfRule>
  </conditionalFormatting>
  <conditionalFormatting sqref="A1334:G1334">
    <cfRule type="expression" dxfId="0" priority="889">
      <formula>COUNTIF($G1334, "TRUE") = 1</formula>
    </cfRule>
    <cfRule type="expression" dxfId="1" priority="890">
      <formula>COUNTIF($G1334, "FALSE") = 1</formula>
    </cfRule>
  </conditionalFormatting>
  <conditionalFormatting sqref="A1337:G1337">
    <cfRule type="expression" dxfId="0" priority="891">
      <formula>COUNTIF($G1337, "TRUE") = 1</formula>
    </cfRule>
    <cfRule type="expression" dxfId="1" priority="892">
      <formula>COUNTIF($G1337, "FALSE") = 1</formula>
    </cfRule>
  </conditionalFormatting>
  <conditionalFormatting sqref="A1340:G1340">
    <cfRule type="expression" dxfId="0" priority="893">
      <formula>COUNTIF($G1340, "TRUE") = 1</formula>
    </cfRule>
    <cfRule type="expression" dxfId="1" priority="894">
      <formula>COUNTIF($G1340, "FALSE") = 1</formula>
    </cfRule>
  </conditionalFormatting>
  <conditionalFormatting sqref="A1343:G1343">
    <cfRule type="expression" dxfId="0" priority="895">
      <formula>COUNTIF($G1343, "TRUE") = 1</formula>
    </cfRule>
    <cfRule type="expression" dxfId="1" priority="896">
      <formula>COUNTIF($G1343, "FALSE") = 1</formula>
    </cfRule>
  </conditionalFormatting>
  <conditionalFormatting sqref="A1346:G1346">
    <cfRule type="expression" dxfId="0" priority="897">
      <formula>COUNTIF($G1346, "TRUE") = 1</formula>
    </cfRule>
    <cfRule type="expression" dxfId="1" priority="898">
      <formula>COUNTIF($G1346, "FALSE") = 1</formula>
    </cfRule>
  </conditionalFormatting>
  <conditionalFormatting sqref="A1349:G1349">
    <cfRule type="expression" dxfId="0" priority="899">
      <formula>COUNTIF($G1349, "TRUE") = 1</formula>
    </cfRule>
    <cfRule type="expression" dxfId="1" priority="900">
      <formula>COUNTIF($G1349, "FALSE") = 1</formula>
    </cfRule>
  </conditionalFormatting>
  <conditionalFormatting sqref="A134:G134">
    <cfRule type="expression" dxfId="0" priority="89">
      <formula>COUNTIF($G134, "TRUE") = 1</formula>
    </cfRule>
    <cfRule type="expression" dxfId="1" priority="90">
      <formula>COUNTIF($G134, "FALSE") = 1</formula>
    </cfRule>
  </conditionalFormatting>
  <conditionalFormatting sqref="A1352:G1352">
    <cfRule type="expression" dxfId="0" priority="901">
      <formula>COUNTIF($G1352, "TRUE") = 1</formula>
    </cfRule>
    <cfRule type="expression" dxfId="1" priority="902">
      <formula>COUNTIF($G1352, "FALSE") = 1</formula>
    </cfRule>
  </conditionalFormatting>
  <conditionalFormatting sqref="A1355:G1355">
    <cfRule type="expression" dxfId="0" priority="903">
      <formula>COUNTIF($G1355, "TRUE") = 1</formula>
    </cfRule>
    <cfRule type="expression" dxfId="1" priority="904">
      <formula>COUNTIF($G1355, "FALSE") = 1</formula>
    </cfRule>
  </conditionalFormatting>
  <conditionalFormatting sqref="A1358:G1358">
    <cfRule type="expression" dxfId="0" priority="905">
      <formula>COUNTIF($G1358, "TRUE") = 1</formula>
    </cfRule>
    <cfRule type="expression" dxfId="1" priority="906">
      <formula>COUNTIF($G1358, "FALSE") = 1</formula>
    </cfRule>
  </conditionalFormatting>
  <conditionalFormatting sqref="A1361:G1361">
    <cfRule type="expression" dxfId="0" priority="907">
      <formula>COUNTIF($G1361, "TRUE") = 1</formula>
    </cfRule>
    <cfRule type="expression" dxfId="1" priority="908">
      <formula>COUNTIF($G1361, "FALSE") = 1</formula>
    </cfRule>
  </conditionalFormatting>
  <conditionalFormatting sqref="A1364:G1364">
    <cfRule type="expression" dxfId="0" priority="909">
      <formula>COUNTIF($G1364, "TRUE") = 1</formula>
    </cfRule>
    <cfRule type="expression" dxfId="1" priority="910">
      <formula>COUNTIF($G1364, "FALSE") = 1</formula>
    </cfRule>
  </conditionalFormatting>
  <conditionalFormatting sqref="A1367:G1367">
    <cfRule type="expression" dxfId="0" priority="911">
      <formula>COUNTIF($G1367, "TRUE") = 1</formula>
    </cfRule>
    <cfRule type="expression" dxfId="1" priority="912">
      <formula>COUNTIF($G1367, "FALSE") = 1</formula>
    </cfRule>
  </conditionalFormatting>
  <conditionalFormatting sqref="A1370:G1370">
    <cfRule type="expression" dxfId="0" priority="913">
      <formula>COUNTIF($G1370, "TRUE") = 1</formula>
    </cfRule>
    <cfRule type="expression" dxfId="1" priority="914">
      <formula>COUNTIF($G1370, "FALSE") = 1</formula>
    </cfRule>
  </conditionalFormatting>
  <conditionalFormatting sqref="A1373:G1373">
    <cfRule type="expression" dxfId="0" priority="915">
      <formula>COUNTIF($G1373, "TRUE") = 1</formula>
    </cfRule>
    <cfRule type="expression" dxfId="1" priority="916">
      <formula>COUNTIF($G1373, "FALSE") = 1</formula>
    </cfRule>
  </conditionalFormatting>
  <conditionalFormatting sqref="A1376:G1376">
    <cfRule type="expression" dxfId="0" priority="917">
      <formula>COUNTIF($G1376, "TRUE") = 1</formula>
    </cfRule>
    <cfRule type="expression" dxfId="1" priority="918">
      <formula>COUNTIF($G1376, "FALSE") = 1</formula>
    </cfRule>
  </conditionalFormatting>
  <conditionalFormatting sqref="A1379:G1379">
    <cfRule type="expression" dxfId="0" priority="919">
      <formula>COUNTIF($G1379, "TRUE") = 1</formula>
    </cfRule>
    <cfRule type="expression" dxfId="1" priority="920">
      <formula>COUNTIF($G1379, "FALSE") = 1</formula>
    </cfRule>
  </conditionalFormatting>
  <conditionalFormatting sqref="A137:G137">
    <cfRule type="expression" dxfId="0" priority="91">
      <formula>COUNTIF($G137, "TRUE") = 1</formula>
    </cfRule>
    <cfRule type="expression" dxfId="1" priority="92">
      <formula>COUNTIF($G137, "FALSE") = 1</formula>
    </cfRule>
  </conditionalFormatting>
  <conditionalFormatting sqref="A1382:G1382">
    <cfRule type="expression" dxfId="0" priority="921">
      <formula>COUNTIF($G1382, "TRUE") = 1</formula>
    </cfRule>
    <cfRule type="expression" dxfId="1" priority="922">
      <formula>COUNTIF($G1382, "FALSE") = 1</formula>
    </cfRule>
  </conditionalFormatting>
  <conditionalFormatting sqref="A1385:G1385">
    <cfRule type="expression" dxfId="0" priority="923">
      <formula>COUNTIF($G1385, "TRUE") = 1</formula>
    </cfRule>
    <cfRule type="expression" dxfId="1" priority="924">
      <formula>COUNTIF($G1385, "FALSE") = 1</formula>
    </cfRule>
  </conditionalFormatting>
  <conditionalFormatting sqref="A1388:G1388">
    <cfRule type="expression" dxfId="0" priority="925">
      <formula>COUNTIF($G1388, "TRUE") = 1</formula>
    </cfRule>
    <cfRule type="expression" dxfId="1" priority="926">
      <formula>COUNTIF($G1388, "FALSE") = 1</formula>
    </cfRule>
  </conditionalFormatting>
  <conditionalFormatting sqref="A1391:G1391">
    <cfRule type="expression" dxfId="0" priority="927">
      <formula>COUNTIF($G1391, "TRUE") = 1</formula>
    </cfRule>
    <cfRule type="expression" dxfId="1" priority="928">
      <formula>COUNTIF($G1391, "FALSE") = 1</formula>
    </cfRule>
  </conditionalFormatting>
  <conditionalFormatting sqref="A1394:G1394">
    <cfRule type="expression" dxfId="0" priority="929">
      <formula>COUNTIF($G1394, "TRUE") = 1</formula>
    </cfRule>
    <cfRule type="expression" dxfId="1" priority="930">
      <formula>COUNTIF($G1394, "FALSE") = 1</formula>
    </cfRule>
  </conditionalFormatting>
  <conditionalFormatting sqref="A1397:G1397">
    <cfRule type="expression" dxfId="0" priority="931">
      <formula>COUNTIF($G1397, "TRUE") = 1</formula>
    </cfRule>
    <cfRule type="expression" dxfId="1" priority="932">
      <formula>COUNTIF($G1397, "FALSE") = 1</formula>
    </cfRule>
  </conditionalFormatting>
  <conditionalFormatting sqref="A1400:G1400">
    <cfRule type="expression" dxfId="0" priority="933">
      <formula>COUNTIF($G1400, "TRUE") = 1</formula>
    </cfRule>
    <cfRule type="expression" dxfId="1" priority="934">
      <formula>COUNTIF($G1400, "FALSE") = 1</formula>
    </cfRule>
  </conditionalFormatting>
  <conditionalFormatting sqref="A1403:G1403">
    <cfRule type="expression" dxfId="0" priority="935">
      <formula>COUNTIF($G1403, "TRUE") = 1</formula>
    </cfRule>
    <cfRule type="expression" dxfId="1" priority="936">
      <formula>COUNTIF($G1403, "FALSE") = 1</formula>
    </cfRule>
  </conditionalFormatting>
  <conditionalFormatting sqref="A1406:G1406">
    <cfRule type="expression" dxfId="0" priority="937">
      <formula>COUNTIF($G1406, "TRUE") = 1</formula>
    </cfRule>
    <cfRule type="expression" dxfId="1" priority="938">
      <formula>COUNTIF($G1406, "FALSE") = 1</formula>
    </cfRule>
  </conditionalFormatting>
  <conditionalFormatting sqref="A1409:G1409">
    <cfRule type="expression" dxfId="0" priority="939">
      <formula>COUNTIF($G1409, "TRUE") = 1</formula>
    </cfRule>
    <cfRule type="expression" dxfId="1" priority="940">
      <formula>COUNTIF($G1409, "FALSE") = 1</formula>
    </cfRule>
  </conditionalFormatting>
  <conditionalFormatting sqref="A140:G140">
    <cfRule type="expression" dxfId="0" priority="93">
      <formula>COUNTIF($G140, "TRUE") = 1</formula>
    </cfRule>
    <cfRule type="expression" dxfId="1" priority="94">
      <formula>COUNTIF($G140, "FALSE") = 1</formula>
    </cfRule>
  </conditionalFormatting>
  <conditionalFormatting sqref="A1412:G1412">
    <cfRule type="expression" dxfId="0" priority="941">
      <formula>COUNTIF($G1412, "TRUE") = 1</formula>
    </cfRule>
    <cfRule type="expression" dxfId="1" priority="942">
      <formula>COUNTIF($G1412, "FALSE") = 1</formula>
    </cfRule>
  </conditionalFormatting>
  <conditionalFormatting sqref="A1415:G1415">
    <cfRule type="expression" dxfId="0" priority="943">
      <formula>COUNTIF($G1415, "TRUE") = 1</formula>
    </cfRule>
    <cfRule type="expression" dxfId="1" priority="944">
      <formula>COUNTIF($G1415, "FALSE") = 1</formula>
    </cfRule>
  </conditionalFormatting>
  <conditionalFormatting sqref="A1418:G1418">
    <cfRule type="expression" dxfId="0" priority="945">
      <formula>COUNTIF($G1418, "TRUE") = 1</formula>
    </cfRule>
    <cfRule type="expression" dxfId="1" priority="946">
      <formula>COUNTIF($G1418, "FALSE") = 1</formula>
    </cfRule>
  </conditionalFormatting>
  <conditionalFormatting sqref="A1421:G1421">
    <cfRule type="expression" dxfId="0" priority="947">
      <formula>COUNTIF($G1421, "TRUE") = 1</formula>
    </cfRule>
    <cfRule type="expression" dxfId="1" priority="948">
      <formula>COUNTIF($G1421, "FALSE") = 1</formula>
    </cfRule>
  </conditionalFormatting>
  <conditionalFormatting sqref="A1424:G1424">
    <cfRule type="expression" dxfId="0" priority="949">
      <formula>COUNTIF($G1424, "TRUE") = 1</formula>
    </cfRule>
    <cfRule type="expression" dxfId="1" priority="950">
      <formula>COUNTIF($G1424, "FALSE") = 1</formula>
    </cfRule>
  </conditionalFormatting>
  <conditionalFormatting sqref="A1427:G1427">
    <cfRule type="expression" dxfId="0" priority="951">
      <formula>COUNTIF($G1427, "TRUE") = 1</formula>
    </cfRule>
    <cfRule type="expression" dxfId="1" priority="952">
      <formula>COUNTIF($G1427, "FALSE") = 1</formula>
    </cfRule>
  </conditionalFormatting>
  <conditionalFormatting sqref="A1430:G1430">
    <cfRule type="expression" dxfId="0" priority="953">
      <formula>COUNTIF($G1430, "TRUE") = 1</formula>
    </cfRule>
    <cfRule type="expression" dxfId="1" priority="954">
      <formula>COUNTIF($G1430, "FALSE") = 1</formula>
    </cfRule>
  </conditionalFormatting>
  <conditionalFormatting sqref="A1433:G1433">
    <cfRule type="expression" dxfId="0" priority="955">
      <formula>COUNTIF($G1433, "TRUE") = 1</formula>
    </cfRule>
    <cfRule type="expression" dxfId="1" priority="956">
      <formula>COUNTIF($G1433, "FALSE") = 1</formula>
    </cfRule>
  </conditionalFormatting>
  <conditionalFormatting sqref="A1436:G1436">
    <cfRule type="expression" dxfId="0" priority="957">
      <formula>COUNTIF($G1436, "TRUE") = 1</formula>
    </cfRule>
    <cfRule type="expression" dxfId="1" priority="958">
      <formula>COUNTIF($G1436, "FALSE") = 1</formula>
    </cfRule>
  </conditionalFormatting>
  <conditionalFormatting sqref="A1439:G1439">
    <cfRule type="expression" dxfId="0" priority="959">
      <formula>COUNTIF($G1439, "TRUE") = 1</formula>
    </cfRule>
    <cfRule type="expression" dxfId="1" priority="960">
      <formula>COUNTIF($G1439, "FALSE") = 1</formula>
    </cfRule>
  </conditionalFormatting>
  <conditionalFormatting sqref="A143:G143">
    <cfRule type="expression" dxfId="0" priority="95">
      <formula>COUNTIF($G143, "TRUE") = 1</formula>
    </cfRule>
    <cfRule type="expression" dxfId="1" priority="96">
      <formula>COUNTIF($G143, "FALSE") = 1</formula>
    </cfRule>
  </conditionalFormatting>
  <conditionalFormatting sqref="A1442:G1442">
    <cfRule type="expression" dxfId="0" priority="961">
      <formula>COUNTIF($G1442, "TRUE") = 1</formula>
    </cfRule>
    <cfRule type="expression" dxfId="1" priority="962">
      <formula>COUNTIF($G1442, "FALSE") = 1</formula>
    </cfRule>
  </conditionalFormatting>
  <conditionalFormatting sqref="A1445:G1445">
    <cfRule type="expression" dxfId="0" priority="963">
      <formula>COUNTIF($G1445, "TRUE") = 1</formula>
    </cfRule>
    <cfRule type="expression" dxfId="1" priority="964">
      <formula>COUNTIF($G1445, "FALSE") = 1</formula>
    </cfRule>
  </conditionalFormatting>
  <conditionalFormatting sqref="A1448:G1448">
    <cfRule type="expression" dxfId="0" priority="965">
      <formula>COUNTIF($G1448, "TRUE") = 1</formula>
    </cfRule>
    <cfRule type="expression" dxfId="1" priority="966">
      <formula>COUNTIF($G1448, "FALSE") = 1</formula>
    </cfRule>
  </conditionalFormatting>
  <conditionalFormatting sqref="A1451:G1451">
    <cfRule type="expression" dxfId="0" priority="967">
      <formula>COUNTIF($G1451, "TRUE") = 1</formula>
    </cfRule>
    <cfRule type="expression" dxfId="1" priority="968">
      <formula>COUNTIF($G1451, "FALSE") = 1</formula>
    </cfRule>
  </conditionalFormatting>
  <conditionalFormatting sqref="A1454:G1454">
    <cfRule type="expression" dxfId="0" priority="969">
      <formula>COUNTIF($G1454, "TRUE") = 1</formula>
    </cfRule>
    <cfRule type="expression" dxfId="1" priority="970">
      <formula>COUNTIF($G1454, "FALSE") = 1</formula>
    </cfRule>
  </conditionalFormatting>
  <conditionalFormatting sqref="A1457:G1457">
    <cfRule type="expression" dxfId="0" priority="971">
      <formula>COUNTIF($G1457, "TRUE") = 1</formula>
    </cfRule>
    <cfRule type="expression" dxfId="1" priority="972">
      <formula>COUNTIF($G1457, "FALSE") = 1</formula>
    </cfRule>
  </conditionalFormatting>
  <conditionalFormatting sqref="A1460:G1460">
    <cfRule type="expression" dxfId="0" priority="973">
      <formula>COUNTIF($G1460, "TRUE") = 1</formula>
    </cfRule>
    <cfRule type="expression" dxfId="1" priority="974">
      <formula>COUNTIF($G1460, "FALSE") = 1</formula>
    </cfRule>
  </conditionalFormatting>
  <conditionalFormatting sqref="A1463:G1463">
    <cfRule type="expression" dxfId="0" priority="975">
      <formula>COUNTIF($G1463, "TRUE") = 1</formula>
    </cfRule>
    <cfRule type="expression" dxfId="1" priority="976">
      <formula>COUNTIF($G1463, "FALSE") = 1</formula>
    </cfRule>
  </conditionalFormatting>
  <conditionalFormatting sqref="A1466:G1466">
    <cfRule type="expression" dxfId="0" priority="977">
      <formula>COUNTIF($G1466, "TRUE") = 1</formula>
    </cfRule>
    <cfRule type="expression" dxfId="1" priority="978">
      <formula>COUNTIF($G1466, "FALSE") = 1</formula>
    </cfRule>
  </conditionalFormatting>
  <conditionalFormatting sqref="A1469:G1469">
    <cfRule type="expression" dxfId="0" priority="979">
      <formula>COUNTIF($G1469, "TRUE") = 1</formula>
    </cfRule>
    <cfRule type="expression" dxfId="1" priority="980">
      <formula>COUNTIF($G1469, "FALSE") = 1</formula>
    </cfRule>
  </conditionalFormatting>
  <conditionalFormatting sqref="A146:G146">
    <cfRule type="expression" dxfId="0" priority="97">
      <formula>COUNTIF($G146, "TRUE") = 1</formula>
    </cfRule>
    <cfRule type="expression" dxfId="1" priority="98">
      <formula>COUNTIF($G146, "FALSE") = 1</formula>
    </cfRule>
  </conditionalFormatting>
  <conditionalFormatting sqref="A1472:G1472">
    <cfRule type="expression" dxfId="0" priority="981">
      <formula>COUNTIF($G1472, "TRUE") = 1</formula>
    </cfRule>
    <cfRule type="expression" dxfId="1" priority="982">
      <formula>COUNTIF($G1472, "FALSE") = 1</formula>
    </cfRule>
  </conditionalFormatting>
  <conditionalFormatting sqref="A1475:G1475">
    <cfRule type="expression" dxfId="0" priority="983">
      <formula>COUNTIF($G1475, "TRUE") = 1</formula>
    </cfRule>
    <cfRule type="expression" dxfId="1" priority="984">
      <formula>COUNTIF($G1475, "FALSE") = 1</formula>
    </cfRule>
  </conditionalFormatting>
  <conditionalFormatting sqref="A1478:G1478">
    <cfRule type="expression" dxfId="0" priority="985">
      <formula>COUNTIF($G1478, "TRUE") = 1</formula>
    </cfRule>
    <cfRule type="expression" dxfId="1" priority="986">
      <formula>COUNTIF($G1478, "FALSE") = 1</formula>
    </cfRule>
  </conditionalFormatting>
  <conditionalFormatting sqref="A1481:G1481">
    <cfRule type="expression" dxfId="0" priority="987">
      <formula>COUNTIF($G1481, "TRUE") = 1</formula>
    </cfRule>
    <cfRule type="expression" dxfId="1" priority="988">
      <formula>COUNTIF($G1481, "FALSE") = 1</formula>
    </cfRule>
  </conditionalFormatting>
  <conditionalFormatting sqref="A1484:G1484">
    <cfRule type="expression" dxfId="0" priority="989">
      <formula>COUNTIF($G1484, "TRUE") = 1</formula>
    </cfRule>
    <cfRule type="expression" dxfId="1" priority="990">
      <formula>COUNTIF($G1484, "FALSE") = 1</formula>
    </cfRule>
  </conditionalFormatting>
  <conditionalFormatting sqref="A1487:G1487">
    <cfRule type="expression" dxfId="0" priority="991">
      <formula>COUNTIF($G1487, "TRUE") = 1</formula>
    </cfRule>
    <cfRule type="expression" dxfId="1" priority="992">
      <formula>COUNTIF($G1487, "FALSE") = 1</formula>
    </cfRule>
  </conditionalFormatting>
  <conditionalFormatting sqref="A1490:G1490">
    <cfRule type="expression" dxfId="0" priority="993">
      <formula>COUNTIF($G1490, "TRUE") = 1</formula>
    </cfRule>
    <cfRule type="expression" dxfId="1" priority="994">
      <formula>COUNTIF($G1490, "FALSE") = 1</formula>
    </cfRule>
  </conditionalFormatting>
  <conditionalFormatting sqref="A1493:G1493">
    <cfRule type="expression" dxfId="0" priority="995">
      <formula>COUNTIF($G1493, "TRUE") = 1</formula>
    </cfRule>
    <cfRule type="expression" dxfId="1" priority="996">
      <formula>COUNTIF($G1493, "FALSE") = 1</formula>
    </cfRule>
  </conditionalFormatting>
  <conditionalFormatting sqref="A1496:G1496">
    <cfRule type="expression" dxfId="0" priority="997">
      <formula>COUNTIF($G1496, "TRUE") = 1</formula>
    </cfRule>
    <cfRule type="expression" dxfId="1" priority="998">
      <formula>COUNTIF($G1496, "FALSE") = 1</formula>
    </cfRule>
  </conditionalFormatting>
  <conditionalFormatting sqref="A1499:G1499">
    <cfRule type="expression" dxfId="0" priority="999">
      <formula>COUNTIF($G1499, "TRUE") = 1</formula>
    </cfRule>
    <cfRule type="expression" dxfId="1" priority="1000">
      <formula>COUNTIF($G1499, "FALSE") = 1</formula>
    </cfRule>
  </conditionalFormatting>
  <conditionalFormatting sqref="A149:G149">
    <cfRule type="expression" dxfId="0" priority="99">
      <formula>COUNTIF($G149, "TRUE") = 1</formula>
    </cfRule>
    <cfRule type="expression" dxfId="1" priority="100">
      <formula>COUNTIF($G149, "FALSE") = 1</formula>
    </cfRule>
  </conditionalFormatting>
  <conditionalFormatting sqref="A14:G14">
    <cfRule type="expression" dxfId="0" priority="9">
      <formula>COUNTIF($G14, "TRUE") = 1</formula>
    </cfRule>
    <cfRule type="expression" dxfId="1" priority="10">
      <formula>COUNTIF($G14, "FALSE") = 1</formula>
    </cfRule>
  </conditionalFormatting>
  <conditionalFormatting sqref="A1502:G1502">
    <cfRule type="expression" dxfId="0" priority="1001">
      <formula>COUNTIF($G1502, "TRUE") = 1</formula>
    </cfRule>
    <cfRule type="expression" dxfId="1" priority="1002">
      <formula>COUNTIF($G1502, "FALSE") = 1</formula>
    </cfRule>
  </conditionalFormatting>
  <conditionalFormatting sqref="A1505:G1505">
    <cfRule type="expression" dxfId="0" priority="1003">
      <formula>COUNTIF($G1505, "TRUE") = 1</formula>
    </cfRule>
    <cfRule type="expression" dxfId="1" priority="1004">
      <formula>COUNTIF($G1505, "FALSE") = 1</formula>
    </cfRule>
  </conditionalFormatting>
  <conditionalFormatting sqref="A1508:G1508">
    <cfRule type="expression" dxfId="0" priority="1005">
      <formula>COUNTIF($G1508, "TRUE") = 1</formula>
    </cfRule>
    <cfRule type="expression" dxfId="1" priority="1006">
      <formula>COUNTIF($G1508, "FALSE") = 1</formula>
    </cfRule>
  </conditionalFormatting>
  <conditionalFormatting sqref="A1511:G1511">
    <cfRule type="expression" dxfId="0" priority="1007">
      <formula>COUNTIF($G1511, "TRUE") = 1</formula>
    </cfRule>
    <cfRule type="expression" dxfId="1" priority="1008">
      <formula>COUNTIF($G1511, "FALSE") = 1</formula>
    </cfRule>
  </conditionalFormatting>
  <conditionalFormatting sqref="A1514:G1514">
    <cfRule type="expression" dxfId="0" priority="1009">
      <formula>COUNTIF($G1514, "TRUE") = 1</formula>
    </cfRule>
    <cfRule type="expression" dxfId="1" priority="1010">
      <formula>COUNTIF($G1514, "FALSE") = 1</formula>
    </cfRule>
  </conditionalFormatting>
  <conditionalFormatting sqref="A1517:G1517">
    <cfRule type="expression" dxfId="0" priority="1011">
      <formula>COUNTIF($G1517, "TRUE") = 1</formula>
    </cfRule>
    <cfRule type="expression" dxfId="1" priority="1012">
      <formula>COUNTIF($G1517, "FALSE") = 1</formula>
    </cfRule>
  </conditionalFormatting>
  <conditionalFormatting sqref="A1520:G1520">
    <cfRule type="expression" dxfId="0" priority="1013">
      <formula>COUNTIF($G1520, "TRUE") = 1</formula>
    </cfRule>
    <cfRule type="expression" dxfId="1" priority="1014">
      <formula>COUNTIF($G1520, "FALSE") = 1</formula>
    </cfRule>
  </conditionalFormatting>
  <conditionalFormatting sqref="A1523:G1523">
    <cfRule type="expression" dxfId="0" priority="1015">
      <formula>COUNTIF($G1523, "TRUE") = 1</formula>
    </cfRule>
    <cfRule type="expression" dxfId="1" priority="1016">
      <formula>COUNTIF($G1523, "FALSE") = 1</formula>
    </cfRule>
  </conditionalFormatting>
  <conditionalFormatting sqref="A1526:G1526">
    <cfRule type="expression" dxfId="0" priority="1017">
      <formula>COUNTIF($G1526, "TRUE") = 1</formula>
    </cfRule>
    <cfRule type="expression" dxfId="1" priority="1018">
      <formula>COUNTIF($G1526, "FALSE") = 1</formula>
    </cfRule>
  </conditionalFormatting>
  <conditionalFormatting sqref="A1529:G1529">
    <cfRule type="expression" dxfId="0" priority="1019">
      <formula>COUNTIF($G1529, "TRUE") = 1</formula>
    </cfRule>
    <cfRule type="expression" dxfId="1" priority="1020">
      <formula>COUNTIF($G1529, "FALSE") = 1</formula>
    </cfRule>
  </conditionalFormatting>
  <conditionalFormatting sqref="A152:G152">
    <cfRule type="expression" dxfId="0" priority="101">
      <formula>COUNTIF($G152, "TRUE") = 1</formula>
    </cfRule>
    <cfRule type="expression" dxfId="1" priority="102">
      <formula>COUNTIF($G152, "FALSE") = 1</formula>
    </cfRule>
  </conditionalFormatting>
  <conditionalFormatting sqref="A1532:G1532">
    <cfRule type="expression" dxfId="0" priority="1021">
      <formula>COUNTIF($G1532, "TRUE") = 1</formula>
    </cfRule>
    <cfRule type="expression" dxfId="1" priority="1022">
      <formula>COUNTIF($G1532, "FALSE") = 1</formula>
    </cfRule>
  </conditionalFormatting>
  <conditionalFormatting sqref="A1535:G1535">
    <cfRule type="expression" dxfId="0" priority="1023">
      <formula>COUNTIF($G1535, "TRUE") = 1</formula>
    </cfRule>
    <cfRule type="expression" dxfId="1" priority="1024">
      <formula>COUNTIF($G1535, "FALSE") = 1</formula>
    </cfRule>
  </conditionalFormatting>
  <conditionalFormatting sqref="A1538:G1538">
    <cfRule type="expression" dxfId="0" priority="1025">
      <formula>COUNTIF($G1538, "TRUE") = 1</formula>
    </cfRule>
    <cfRule type="expression" dxfId="1" priority="1026">
      <formula>COUNTIF($G1538, "FALSE") = 1</formula>
    </cfRule>
  </conditionalFormatting>
  <conditionalFormatting sqref="A1541:G1541">
    <cfRule type="expression" dxfId="0" priority="1027">
      <formula>COUNTIF($G1541, "TRUE") = 1</formula>
    </cfRule>
    <cfRule type="expression" dxfId="1" priority="1028">
      <formula>COUNTIF($G1541, "FALSE") = 1</formula>
    </cfRule>
  </conditionalFormatting>
  <conditionalFormatting sqref="A1544:G1544">
    <cfRule type="expression" dxfId="0" priority="1029">
      <formula>COUNTIF($G1544, "TRUE") = 1</formula>
    </cfRule>
    <cfRule type="expression" dxfId="1" priority="1030">
      <formula>COUNTIF($G1544, "FALSE") = 1</formula>
    </cfRule>
  </conditionalFormatting>
  <conditionalFormatting sqref="A1547:G1547">
    <cfRule type="expression" dxfId="0" priority="1031">
      <formula>COUNTIF($G1547, "TRUE") = 1</formula>
    </cfRule>
    <cfRule type="expression" dxfId="1" priority="1032">
      <formula>COUNTIF($G1547, "FALSE") = 1</formula>
    </cfRule>
  </conditionalFormatting>
  <conditionalFormatting sqref="A1550:G1550">
    <cfRule type="expression" dxfId="0" priority="1033">
      <formula>COUNTIF($G1550, "TRUE") = 1</formula>
    </cfRule>
    <cfRule type="expression" dxfId="1" priority="1034">
      <formula>COUNTIF($G1550, "FALSE") = 1</formula>
    </cfRule>
  </conditionalFormatting>
  <conditionalFormatting sqref="A1553:G1553">
    <cfRule type="expression" dxfId="0" priority="1035">
      <formula>COUNTIF($G1553, "TRUE") = 1</formula>
    </cfRule>
    <cfRule type="expression" dxfId="1" priority="1036">
      <formula>COUNTIF($G1553, "FALSE") = 1</formula>
    </cfRule>
  </conditionalFormatting>
  <conditionalFormatting sqref="A1556:G1556">
    <cfRule type="expression" dxfId="0" priority="1037">
      <formula>COUNTIF($G1556, "TRUE") = 1</formula>
    </cfRule>
    <cfRule type="expression" dxfId="1" priority="1038">
      <formula>COUNTIF($G1556, "FALSE") = 1</formula>
    </cfRule>
  </conditionalFormatting>
  <conditionalFormatting sqref="A1559:G1559">
    <cfRule type="expression" dxfId="0" priority="1039">
      <formula>COUNTIF($G1559, "TRUE") = 1</formula>
    </cfRule>
    <cfRule type="expression" dxfId="1" priority="1040">
      <formula>COUNTIF($G1559, "FALSE") = 1</formula>
    </cfRule>
  </conditionalFormatting>
  <conditionalFormatting sqref="A155:G155">
    <cfRule type="expression" dxfId="0" priority="103">
      <formula>COUNTIF($G155, "TRUE") = 1</formula>
    </cfRule>
    <cfRule type="expression" dxfId="1" priority="104">
      <formula>COUNTIF($G155, "FALSE") = 1</formula>
    </cfRule>
  </conditionalFormatting>
  <conditionalFormatting sqref="A1562:G1562">
    <cfRule type="expression" dxfId="0" priority="1041">
      <formula>COUNTIF($G1562, "TRUE") = 1</formula>
    </cfRule>
    <cfRule type="expression" dxfId="1" priority="1042">
      <formula>COUNTIF($G1562, "FALSE") = 1</formula>
    </cfRule>
  </conditionalFormatting>
  <conditionalFormatting sqref="A1565:G1565">
    <cfRule type="expression" dxfId="0" priority="1043">
      <formula>COUNTIF($G1565, "TRUE") = 1</formula>
    </cfRule>
    <cfRule type="expression" dxfId="1" priority="1044">
      <formula>COUNTIF($G1565, "FALSE") = 1</formula>
    </cfRule>
  </conditionalFormatting>
  <conditionalFormatting sqref="A1568:G1568">
    <cfRule type="expression" dxfId="0" priority="1045">
      <formula>COUNTIF($G1568, "TRUE") = 1</formula>
    </cfRule>
    <cfRule type="expression" dxfId="1" priority="1046">
      <formula>COUNTIF($G1568, "FALSE") = 1</formula>
    </cfRule>
  </conditionalFormatting>
  <conditionalFormatting sqref="A1571:G1571">
    <cfRule type="expression" dxfId="0" priority="1047">
      <formula>COUNTIF($G1571, "TRUE") = 1</formula>
    </cfRule>
    <cfRule type="expression" dxfId="1" priority="1048">
      <formula>COUNTIF($G1571, "FALSE") = 1</formula>
    </cfRule>
  </conditionalFormatting>
  <conditionalFormatting sqref="A1574:G1574">
    <cfRule type="expression" dxfId="0" priority="1049">
      <formula>COUNTIF($G1574, "TRUE") = 1</formula>
    </cfRule>
    <cfRule type="expression" dxfId="1" priority="1050">
      <formula>COUNTIF($G1574, "FALSE") = 1</formula>
    </cfRule>
  </conditionalFormatting>
  <conditionalFormatting sqref="A1577:G1577">
    <cfRule type="expression" dxfId="0" priority="1051">
      <formula>COUNTIF($G1577, "TRUE") = 1</formula>
    </cfRule>
    <cfRule type="expression" dxfId="1" priority="1052">
      <formula>COUNTIF($G1577, "FALSE") = 1</formula>
    </cfRule>
  </conditionalFormatting>
  <conditionalFormatting sqref="A1580:G1580">
    <cfRule type="expression" dxfId="0" priority="1053">
      <formula>COUNTIF($G1580, "TRUE") = 1</formula>
    </cfRule>
    <cfRule type="expression" dxfId="1" priority="1054">
      <formula>COUNTIF($G1580, "FALSE") = 1</formula>
    </cfRule>
  </conditionalFormatting>
  <conditionalFormatting sqref="A1583:G1583">
    <cfRule type="expression" dxfId="0" priority="1055">
      <formula>COUNTIF($G1583, "TRUE") = 1</formula>
    </cfRule>
    <cfRule type="expression" dxfId="1" priority="1056">
      <formula>COUNTIF($G1583, "FALSE") = 1</formula>
    </cfRule>
  </conditionalFormatting>
  <conditionalFormatting sqref="A1586:G1586">
    <cfRule type="expression" dxfId="0" priority="1057">
      <formula>COUNTIF($G1586, "TRUE") = 1</formula>
    </cfRule>
    <cfRule type="expression" dxfId="1" priority="1058">
      <formula>COUNTIF($G1586, "FALSE") = 1</formula>
    </cfRule>
  </conditionalFormatting>
  <conditionalFormatting sqref="A1589:G1589">
    <cfRule type="expression" dxfId="0" priority="1059">
      <formula>COUNTIF($G1589, "TRUE") = 1</formula>
    </cfRule>
    <cfRule type="expression" dxfId="1" priority="1060">
      <formula>COUNTIF($G1589, "FALSE") = 1</formula>
    </cfRule>
  </conditionalFormatting>
  <conditionalFormatting sqref="A158:G158">
    <cfRule type="expression" dxfId="0" priority="105">
      <formula>COUNTIF($G158, "TRUE") = 1</formula>
    </cfRule>
    <cfRule type="expression" dxfId="1" priority="106">
      <formula>COUNTIF($G158, "FALSE") = 1</formula>
    </cfRule>
  </conditionalFormatting>
  <conditionalFormatting sqref="A1592:G1592">
    <cfRule type="expression" dxfId="0" priority="1061">
      <formula>COUNTIF($G1592, "TRUE") = 1</formula>
    </cfRule>
    <cfRule type="expression" dxfId="1" priority="1062">
      <formula>COUNTIF($G1592, "FALSE") = 1</formula>
    </cfRule>
  </conditionalFormatting>
  <conditionalFormatting sqref="A1595:G1595">
    <cfRule type="expression" dxfId="0" priority="1063">
      <formula>COUNTIF($G1595, "TRUE") = 1</formula>
    </cfRule>
    <cfRule type="expression" dxfId="1" priority="1064">
      <formula>COUNTIF($G1595, "FALSE") = 1</formula>
    </cfRule>
  </conditionalFormatting>
  <conditionalFormatting sqref="A1598:G1598">
    <cfRule type="expression" dxfId="0" priority="1065">
      <formula>COUNTIF($G1598, "TRUE") = 1</formula>
    </cfRule>
    <cfRule type="expression" dxfId="1" priority="1066">
      <formula>COUNTIF($G1598, "FALSE") = 1</formula>
    </cfRule>
  </conditionalFormatting>
  <conditionalFormatting sqref="A1601:G1601">
    <cfRule type="expression" dxfId="0" priority="1067">
      <formula>COUNTIF($G1601, "TRUE") = 1</formula>
    </cfRule>
    <cfRule type="expression" dxfId="1" priority="1068">
      <formula>COUNTIF($G1601, "FALSE") = 1</formula>
    </cfRule>
  </conditionalFormatting>
  <conditionalFormatting sqref="A1604:G1604">
    <cfRule type="expression" dxfId="0" priority="1069">
      <formula>COUNTIF($G1604, "TRUE") = 1</formula>
    </cfRule>
    <cfRule type="expression" dxfId="1" priority="1070">
      <formula>COUNTIF($G1604, "FALSE") = 1</formula>
    </cfRule>
  </conditionalFormatting>
  <conditionalFormatting sqref="A1607:G1607">
    <cfRule type="expression" dxfId="0" priority="1071">
      <formula>COUNTIF($G1607, "TRUE") = 1</formula>
    </cfRule>
    <cfRule type="expression" dxfId="1" priority="1072">
      <formula>COUNTIF($G1607, "FALSE") = 1</formula>
    </cfRule>
  </conditionalFormatting>
  <conditionalFormatting sqref="A1610:G1610">
    <cfRule type="expression" dxfId="0" priority="1073">
      <formula>COUNTIF($G1610, "TRUE") = 1</formula>
    </cfRule>
    <cfRule type="expression" dxfId="1" priority="1074">
      <formula>COUNTIF($G1610, "FALSE") = 1</formula>
    </cfRule>
  </conditionalFormatting>
  <conditionalFormatting sqref="A1613:G1613">
    <cfRule type="expression" dxfId="0" priority="1075">
      <formula>COUNTIF($G1613, "TRUE") = 1</formula>
    </cfRule>
    <cfRule type="expression" dxfId="1" priority="1076">
      <formula>COUNTIF($G1613, "FALSE") = 1</formula>
    </cfRule>
  </conditionalFormatting>
  <conditionalFormatting sqref="A1616:G1616">
    <cfRule type="expression" dxfId="0" priority="1077">
      <formula>COUNTIF($G1616, "TRUE") = 1</formula>
    </cfRule>
    <cfRule type="expression" dxfId="1" priority="1078">
      <formula>COUNTIF($G1616, "FALSE") = 1</formula>
    </cfRule>
  </conditionalFormatting>
  <conditionalFormatting sqref="A1619:G1619">
    <cfRule type="expression" dxfId="0" priority="1079">
      <formula>COUNTIF($G1619, "TRUE") = 1</formula>
    </cfRule>
    <cfRule type="expression" dxfId="1" priority="1080">
      <formula>COUNTIF($G1619, "FALSE") = 1</formula>
    </cfRule>
  </conditionalFormatting>
  <conditionalFormatting sqref="A161:G161">
    <cfRule type="expression" dxfId="0" priority="107">
      <formula>COUNTIF($G161, "TRUE") = 1</formula>
    </cfRule>
    <cfRule type="expression" dxfId="1" priority="108">
      <formula>COUNTIF($G161, "FALSE") = 1</formula>
    </cfRule>
  </conditionalFormatting>
  <conditionalFormatting sqref="A1622:G1622">
    <cfRule type="expression" dxfId="0" priority="1081">
      <formula>COUNTIF($G1622, "TRUE") = 1</formula>
    </cfRule>
    <cfRule type="expression" dxfId="1" priority="1082">
      <formula>COUNTIF($G1622, "FALSE") = 1</formula>
    </cfRule>
  </conditionalFormatting>
  <conditionalFormatting sqref="A1625:G1625">
    <cfRule type="expression" dxfId="0" priority="1083">
      <formula>COUNTIF($G1625, "TRUE") = 1</formula>
    </cfRule>
    <cfRule type="expression" dxfId="1" priority="1084">
      <formula>COUNTIF($G1625, "FALSE") = 1</formula>
    </cfRule>
  </conditionalFormatting>
  <conditionalFormatting sqref="A1628:G1628">
    <cfRule type="expression" dxfId="0" priority="1085">
      <formula>COUNTIF($G1628, "TRUE") = 1</formula>
    </cfRule>
    <cfRule type="expression" dxfId="1" priority="1086">
      <formula>COUNTIF($G1628, "FALSE") = 1</formula>
    </cfRule>
  </conditionalFormatting>
  <conditionalFormatting sqref="A1631:G1631">
    <cfRule type="expression" dxfId="0" priority="1087">
      <formula>COUNTIF($G1631, "TRUE") = 1</formula>
    </cfRule>
    <cfRule type="expression" dxfId="1" priority="1088">
      <formula>COUNTIF($G1631, "FALSE") = 1</formula>
    </cfRule>
  </conditionalFormatting>
  <conditionalFormatting sqref="A1634:G1634">
    <cfRule type="expression" dxfId="0" priority="1089">
      <formula>COUNTIF($G1634, "TRUE") = 1</formula>
    </cfRule>
    <cfRule type="expression" dxfId="1" priority="1090">
      <formula>COUNTIF($G1634, "FALSE") = 1</formula>
    </cfRule>
  </conditionalFormatting>
  <conditionalFormatting sqref="A1637:G1637">
    <cfRule type="expression" dxfId="0" priority="1091">
      <formula>COUNTIF($G1637, "TRUE") = 1</formula>
    </cfRule>
    <cfRule type="expression" dxfId="1" priority="1092">
      <formula>COUNTIF($G1637, "FALSE") = 1</formula>
    </cfRule>
  </conditionalFormatting>
  <conditionalFormatting sqref="A1640:G1640">
    <cfRule type="expression" dxfId="0" priority="1093">
      <formula>COUNTIF($G1640, "TRUE") = 1</formula>
    </cfRule>
    <cfRule type="expression" dxfId="1" priority="1094">
      <formula>COUNTIF($G1640, "FALSE") = 1</formula>
    </cfRule>
  </conditionalFormatting>
  <conditionalFormatting sqref="A1643:G1643">
    <cfRule type="expression" dxfId="0" priority="1095">
      <formula>COUNTIF($G1643, "TRUE") = 1</formula>
    </cfRule>
    <cfRule type="expression" dxfId="1" priority="1096">
      <formula>COUNTIF($G1643, "FALSE") = 1</formula>
    </cfRule>
  </conditionalFormatting>
  <conditionalFormatting sqref="A1646:G1646">
    <cfRule type="expression" dxfId="0" priority="1097">
      <formula>COUNTIF($G1646, "TRUE") = 1</formula>
    </cfRule>
    <cfRule type="expression" dxfId="1" priority="1098">
      <formula>COUNTIF($G1646, "FALSE") = 1</formula>
    </cfRule>
  </conditionalFormatting>
  <conditionalFormatting sqref="A1649:G1649">
    <cfRule type="expression" dxfId="0" priority="1099">
      <formula>COUNTIF($G1649, "TRUE") = 1</formula>
    </cfRule>
    <cfRule type="expression" dxfId="1" priority="1100">
      <formula>COUNTIF($G1649, "FALSE") = 1</formula>
    </cfRule>
  </conditionalFormatting>
  <conditionalFormatting sqref="A164:G164">
    <cfRule type="expression" dxfId="0" priority="109">
      <formula>COUNTIF($G164, "TRUE") = 1</formula>
    </cfRule>
    <cfRule type="expression" dxfId="1" priority="110">
      <formula>COUNTIF($G164, "FALSE") = 1</formula>
    </cfRule>
  </conditionalFormatting>
  <conditionalFormatting sqref="A1652:G1652">
    <cfRule type="expression" dxfId="0" priority="1101">
      <formula>COUNTIF($G1652, "TRUE") = 1</formula>
    </cfRule>
    <cfRule type="expression" dxfId="1" priority="1102">
      <formula>COUNTIF($G1652, "FALSE") = 1</formula>
    </cfRule>
  </conditionalFormatting>
  <conditionalFormatting sqref="A1655:G1655">
    <cfRule type="expression" dxfId="0" priority="1103">
      <formula>COUNTIF($G1655, "TRUE") = 1</formula>
    </cfRule>
    <cfRule type="expression" dxfId="1" priority="1104">
      <formula>COUNTIF($G1655, "FALSE") = 1</formula>
    </cfRule>
  </conditionalFormatting>
  <conditionalFormatting sqref="A1658:G1658">
    <cfRule type="expression" dxfId="0" priority="1105">
      <formula>COUNTIF($G1658, "TRUE") = 1</formula>
    </cfRule>
    <cfRule type="expression" dxfId="1" priority="1106">
      <formula>COUNTIF($G1658, "FALSE") = 1</formula>
    </cfRule>
  </conditionalFormatting>
  <conditionalFormatting sqref="A1661:G1661">
    <cfRule type="expression" dxfId="0" priority="1107">
      <formula>COUNTIF($G1661, "TRUE") = 1</formula>
    </cfRule>
    <cfRule type="expression" dxfId="1" priority="1108">
      <formula>COUNTIF($G1661, "FALSE") = 1</formula>
    </cfRule>
  </conditionalFormatting>
  <conditionalFormatting sqref="A1664:G1664">
    <cfRule type="expression" dxfId="0" priority="1109">
      <formula>COUNTIF($G1664, "TRUE") = 1</formula>
    </cfRule>
    <cfRule type="expression" dxfId="1" priority="1110">
      <formula>COUNTIF($G1664, "FALSE") = 1</formula>
    </cfRule>
  </conditionalFormatting>
  <conditionalFormatting sqref="A1667:G1667">
    <cfRule type="expression" dxfId="0" priority="1111">
      <formula>COUNTIF($G1667, "TRUE") = 1</formula>
    </cfRule>
    <cfRule type="expression" dxfId="1" priority="1112">
      <formula>COUNTIF($G1667, "FALSE") = 1</formula>
    </cfRule>
  </conditionalFormatting>
  <conditionalFormatting sqref="A1670:G1670">
    <cfRule type="expression" dxfId="0" priority="1113">
      <formula>COUNTIF($G1670, "TRUE") = 1</formula>
    </cfRule>
    <cfRule type="expression" dxfId="1" priority="1114">
      <formula>COUNTIF($G1670, "FALSE") = 1</formula>
    </cfRule>
  </conditionalFormatting>
  <conditionalFormatting sqref="A1673:G1673">
    <cfRule type="expression" dxfId="0" priority="1115">
      <formula>COUNTIF($G1673, "TRUE") = 1</formula>
    </cfRule>
    <cfRule type="expression" dxfId="1" priority="1116">
      <formula>COUNTIF($G1673, "FALSE") = 1</formula>
    </cfRule>
  </conditionalFormatting>
  <conditionalFormatting sqref="A1676:G1676">
    <cfRule type="expression" dxfId="0" priority="1117">
      <formula>COUNTIF($G1676, "TRUE") = 1</formula>
    </cfRule>
    <cfRule type="expression" dxfId="1" priority="1118">
      <formula>COUNTIF($G1676, "FALSE") = 1</formula>
    </cfRule>
  </conditionalFormatting>
  <conditionalFormatting sqref="A1679:G1679">
    <cfRule type="expression" dxfId="0" priority="1119">
      <formula>COUNTIF($G1679, "TRUE") = 1</formula>
    </cfRule>
    <cfRule type="expression" dxfId="1" priority="1120">
      <formula>COUNTIF($G1679, "FALSE") = 1</formula>
    </cfRule>
  </conditionalFormatting>
  <conditionalFormatting sqref="A167:G167">
    <cfRule type="expression" dxfId="0" priority="111">
      <formula>COUNTIF($G167, "TRUE") = 1</formula>
    </cfRule>
    <cfRule type="expression" dxfId="1" priority="112">
      <formula>COUNTIF($G167, "FALSE") = 1</formula>
    </cfRule>
  </conditionalFormatting>
  <conditionalFormatting sqref="A1682:G1682">
    <cfRule type="expression" dxfId="0" priority="1121">
      <formula>COUNTIF($G1682, "TRUE") = 1</formula>
    </cfRule>
    <cfRule type="expression" dxfId="1" priority="1122">
      <formula>COUNTIF($G1682, "FALSE") = 1</formula>
    </cfRule>
  </conditionalFormatting>
  <conditionalFormatting sqref="A1685:G1685">
    <cfRule type="expression" dxfId="0" priority="1123">
      <formula>COUNTIF($G1685, "TRUE") = 1</formula>
    </cfRule>
    <cfRule type="expression" dxfId="1" priority="1124">
      <formula>COUNTIF($G1685, "FALSE") = 1</formula>
    </cfRule>
  </conditionalFormatting>
  <conditionalFormatting sqref="A1688:G1688">
    <cfRule type="expression" dxfId="0" priority="1125">
      <formula>COUNTIF($G1688, "TRUE") = 1</formula>
    </cfRule>
    <cfRule type="expression" dxfId="1" priority="1126">
      <formula>COUNTIF($G1688, "FALSE") = 1</formula>
    </cfRule>
  </conditionalFormatting>
  <conditionalFormatting sqref="A1691:G1691">
    <cfRule type="expression" dxfId="0" priority="1127">
      <formula>COUNTIF($G1691, "TRUE") = 1</formula>
    </cfRule>
    <cfRule type="expression" dxfId="1" priority="1128">
      <formula>COUNTIF($G1691, "FALSE") = 1</formula>
    </cfRule>
  </conditionalFormatting>
  <conditionalFormatting sqref="A1694:G1694">
    <cfRule type="expression" dxfId="0" priority="1129">
      <formula>COUNTIF($G1694, "TRUE") = 1</formula>
    </cfRule>
    <cfRule type="expression" dxfId="1" priority="1130">
      <formula>COUNTIF($G1694, "FALSE") = 1</formula>
    </cfRule>
  </conditionalFormatting>
  <conditionalFormatting sqref="A1697:G1697">
    <cfRule type="expression" dxfId="0" priority="1131">
      <formula>COUNTIF($G1697, "TRUE") = 1</formula>
    </cfRule>
    <cfRule type="expression" dxfId="1" priority="1132">
      <formula>COUNTIF($G1697, "FALSE") = 1</formula>
    </cfRule>
  </conditionalFormatting>
  <conditionalFormatting sqref="A1700:G1700">
    <cfRule type="expression" dxfId="0" priority="1133">
      <formula>COUNTIF($G1700, "TRUE") = 1</formula>
    </cfRule>
    <cfRule type="expression" dxfId="1" priority="1134">
      <formula>COUNTIF($G1700, "FALSE") = 1</formula>
    </cfRule>
  </conditionalFormatting>
  <conditionalFormatting sqref="A1703:G1703">
    <cfRule type="expression" dxfId="0" priority="1135">
      <formula>COUNTIF($G1703, "TRUE") = 1</formula>
    </cfRule>
    <cfRule type="expression" dxfId="1" priority="1136">
      <formula>COUNTIF($G1703, "FALSE") = 1</formula>
    </cfRule>
  </conditionalFormatting>
  <conditionalFormatting sqref="A1706:G1706">
    <cfRule type="expression" dxfId="0" priority="1137">
      <formula>COUNTIF($G1706, "TRUE") = 1</formula>
    </cfRule>
    <cfRule type="expression" dxfId="1" priority="1138">
      <formula>COUNTIF($G1706, "FALSE") = 1</formula>
    </cfRule>
  </conditionalFormatting>
  <conditionalFormatting sqref="A1709:G1709">
    <cfRule type="expression" dxfId="0" priority="1139">
      <formula>COUNTIF($G1709, "TRUE") = 1</formula>
    </cfRule>
    <cfRule type="expression" dxfId="1" priority="1140">
      <formula>COUNTIF($G1709, "FALSE") = 1</formula>
    </cfRule>
  </conditionalFormatting>
  <conditionalFormatting sqref="A170:G170">
    <cfRule type="expression" dxfId="0" priority="113">
      <formula>COUNTIF($G170, "TRUE") = 1</formula>
    </cfRule>
    <cfRule type="expression" dxfId="1" priority="114">
      <formula>COUNTIF($G170, "FALSE") = 1</formula>
    </cfRule>
  </conditionalFormatting>
  <conditionalFormatting sqref="A1712:G1712">
    <cfRule type="expression" dxfId="0" priority="1141">
      <formula>COUNTIF($G1712, "TRUE") = 1</formula>
    </cfRule>
    <cfRule type="expression" dxfId="1" priority="1142">
      <formula>COUNTIF($G1712, "FALSE") = 1</formula>
    </cfRule>
  </conditionalFormatting>
  <conditionalFormatting sqref="A1715:G1715">
    <cfRule type="expression" dxfId="0" priority="1143">
      <formula>COUNTIF($G1715, "TRUE") = 1</formula>
    </cfRule>
    <cfRule type="expression" dxfId="1" priority="1144">
      <formula>COUNTIF($G1715, "FALSE") = 1</formula>
    </cfRule>
  </conditionalFormatting>
  <conditionalFormatting sqref="A1718:G1718">
    <cfRule type="expression" dxfId="0" priority="1145">
      <formula>COUNTIF($G1718, "TRUE") = 1</formula>
    </cfRule>
    <cfRule type="expression" dxfId="1" priority="1146">
      <formula>COUNTIF($G1718, "FALSE") = 1</formula>
    </cfRule>
  </conditionalFormatting>
  <conditionalFormatting sqref="A1721:G1721">
    <cfRule type="expression" dxfId="0" priority="1147">
      <formula>COUNTIF($G1721, "TRUE") = 1</formula>
    </cfRule>
    <cfRule type="expression" dxfId="1" priority="1148">
      <formula>COUNTIF($G1721, "FALSE") = 1</formula>
    </cfRule>
  </conditionalFormatting>
  <conditionalFormatting sqref="A1724:G1724">
    <cfRule type="expression" dxfId="0" priority="1149">
      <formula>COUNTIF($G1724, "TRUE") = 1</formula>
    </cfRule>
    <cfRule type="expression" dxfId="1" priority="1150">
      <formula>COUNTIF($G1724, "FALSE") = 1</formula>
    </cfRule>
  </conditionalFormatting>
  <conditionalFormatting sqref="A1727:G1727">
    <cfRule type="expression" dxfId="0" priority="1151">
      <formula>COUNTIF($G1727, "TRUE") = 1</formula>
    </cfRule>
    <cfRule type="expression" dxfId="1" priority="1152">
      <formula>COUNTIF($G1727, "FALSE") = 1</formula>
    </cfRule>
  </conditionalFormatting>
  <conditionalFormatting sqref="A1730:G1730">
    <cfRule type="expression" dxfId="0" priority="1153">
      <formula>COUNTIF($G1730, "TRUE") = 1</formula>
    </cfRule>
    <cfRule type="expression" dxfId="1" priority="1154">
      <formula>COUNTIF($G1730, "FALSE") = 1</formula>
    </cfRule>
  </conditionalFormatting>
  <conditionalFormatting sqref="A1733:G1733">
    <cfRule type="expression" dxfId="0" priority="1155">
      <formula>COUNTIF($G1733, "TRUE") = 1</formula>
    </cfRule>
    <cfRule type="expression" dxfId="1" priority="1156">
      <formula>COUNTIF($G1733, "FALSE") = 1</formula>
    </cfRule>
  </conditionalFormatting>
  <conditionalFormatting sqref="A1736:G1736">
    <cfRule type="expression" dxfId="0" priority="1157">
      <formula>COUNTIF($G1736, "TRUE") = 1</formula>
    </cfRule>
    <cfRule type="expression" dxfId="1" priority="1158">
      <formula>COUNTIF($G1736, "FALSE") = 1</formula>
    </cfRule>
  </conditionalFormatting>
  <conditionalFormatting sqref="A1739:G1739">
    <cfRule type="expression" dxfId="0" priority="1159">
      <formula>COUNTIF($G1739, "TRUE") = 1</formula>
    </cfRule>
    <cfRule type="expression" dxfId="1" priority="1160">
      <formula>COUNTIF($G1739, "FALSE") = 1</formula>
    </cfRule>
  </conditionalFormatting>
  <conditionalFormatting sqref="A173:G173">
    <cfRule type="expression" dxfId="0" priority="115">
      <formula>COUNTIF($G173, "TRUE") = 1</formula>
    </cfRule>
    <cfRule type="expression" dxfId="1" priority="116">
      <formula>COUNTIF($G173, "FALSE") = 1</formula>
    </cfRule>
  </conditionalFormatting>
  <conditionalFormatting sqref="A1742:G1742">
    <cfRule type="expression" dxfId="0" priority="1161">
      <formula>COUNTIF($G1742, "TRUE") = 1</formula>
    </cfRule>
    <cfRule type="expression" dxfId="1" priority="1162">
      <formula>COUNTIF($G1742, "FALSE") = 1</formula>
    </cfRule>
  </conditionalFormatting>
  <conditionalFormatting sqref="A1745:G1745">
    <cfRule type="expression" dxfId="0" priority="1163">
      <formula>COUNTIF($G1745, "TRUE") = 1</formula>
    </cfRule>
    <cfRule type="expression" dxfId="1" priority="1164">
      <formula>COUNTIF($G1745, "FALSE") = 1</formula>
    </cfRule>
  </conditionalFormatting>
  <conditionalFormatting sqref="A1748:G1748">
    <cfRule type="expression" dxfId="0" priority="1165">
      <formula>COUNTIF($G1748, "TRUE") = 1</formula>
    </cfRule>
    <cfRule type="expression" dxfId="1" priority="1166">
      <formula>COUNTIF($G1748, "FALSE") = 1</formula>
    </cfRule>
  </conditionalFormatting>
  <conditionalFormatting sqref="A1751:G1751">
    <cfRule type="expression" dxfId="0" priority="1167">
      <formula>COUNTIF($G1751, "TRUE") = 1</formula>
    </cfRule>
    <cfRule type="expression" dxfId="1" priority="1168">
      <formula>COUNTIF($G1751, "FALSE") = 1</formula>
    </cfRule>
  </conditionalFormatting>
  <conditionalFormatting sqref="A1754:G1754">
    <cfRule type="expression" dxfId="0" priority="1169">
      <formula>COUNTIF($G1754, "TRUE") = 1</formula>
    </cfRule>
    <cfRule type="expression" dxfId="1" priority="1170">
      <formula>COUNTIF($G1754, "FALSE") = 1</formula>
    </cfRule>
  </conditionalFormatting>
  <conditionalFormatting sqref="A1757:G1757">
    <cfRule type="expression" dxfId="0" priority="1171">
      <formula>COUNTIF($G1757, "TRUE") = 1</formula>
    </cfRule>
    <cfRule type="expression" dxfId="1" priority="1172">
      <formula>COUNTIF($G1757, "FALSE") = 1</formula>
    </cfRule>
  </conditionalFormatting>
  <conditionalFormatting sqref="A1760:G1760">
    <cfRule type="expression" dxfId="0" priority="1173">
      <formula>COUNTIF($G1760, "TRUE") = 1</formula>
    </cfRule>
    <cfRule type="expression" dxfId="1" priority="1174">
      <formula>COUNTIF($G1760, "FALSE") = 1</formula>
    </cfRule>
  </conditionalFormatting>
  <conditionalFormatting sqref="A1763:G1763">
    <cfRule type="expression" dxfId="0" priority="1175">
      <formula>COUNTIF($G1763, "TRUE") = 1</formula>
    </cfRule>
    <cfRule type="expression" dxfId="1" priority="1176">
      <formula>COUNTIF($G1763, "FALSE") = 1</formula>
    </cfRule>
  </conditionalFormatting>
  <conditionalFormatting sqref="A1766:G1766">
    <cfRule type="expression" dxfId="0" priority="1177">
      <formula>COUNTIF($G1766, "TRUE") = 1</formula>
    </cfRule>
    <cfRule type="expression" dxfId="1" priority="1178">
      <formula>COUNTIF($G1766, "FALSE") = 1</formula>
    </cfRule>
  </conditionalFormatting>
  <conditionalFormatting sqref="A1769:G1769">
    <cfRule type="expression" dxfId="0" priority="1179">
      <formula>COUNTIF($G1769, "TRUE") = 1</formula>
    </cfRule>
    <cfRule type="expression" dxfId="1" priority="1180">
      <formula>COUNTIF($G1769, "FALSE") = 1</formula>
    </cfRule>
  </conditionalFormatting>
  <conditionalFormatting sqref="A176:G176">
    <cfRule type="expression" dxfId="0" priority="117">
      <formula>COUNTIF($G176, "TRUE") = 1</formula>
    </cfRule>
    <cfRule type="expression" dxfId="1" priority="118">
      <formula>COUNTIF($G176, "FALSE") = 1</formula>
    </cfRule>
  </conditionalFormatting>
  <conditionalFormatting sqref="A1772:G1772">
    <cfRule type="expression" dxfId="0" priority="1181">
      <formula>COUNTIF($G1772, "TRUE") = 1</formula>
    </cfRule>
    <cfRule type="expression" dxfId="1" priority="1182">
      <formula>COUNTIF($G1772, "FALSE") = 1</formula>
    </cfRule>
  </conditionalFormatting>
  <conditionalFormatting sqref="A1775:G1775">
    <cfRule type="expression" dxfId="0" priority="1183">
      <formula>COUNTIF($G1775, "TRUE") = 1</formula>
    </cfRule>
    <cfRule type="expression" dxfId="1" priority="1184">
      <formula>COUNTIF($G1775, "FALSE") = 1</formula>
    </cfRule>
  </conditionalFormatting>
  <conditionalFormatting sqref="A1778:G1778">
    <cfRule type="expression" dxfId="0" priority="1185">
      <formula>COUNTIF($G1778, "TRUE") = 1</formula>
    </cfRule>
    <cfRule type="expression" dxfId="1" priority="1186">
      <formula>COUNTIF($G1778, "FALSE") = 1</formula>
    </cfRule>
  </conditionalFormatting>
  <conditionalFormatting sqref="A1781:G1781">
    <cfRule type="expression" dxfId="0" priority="1187">
      <formula>COUNTIF($G1781, "TRUE") = 1</formula>
    </cfRule>
    <cfRule type="expression" dxfId="1" priority="1188">
      <formula>COUNTIF($G1781, "FALSE") = 1</formula>
    </cfRule>
  </conditionalFormatting>
  <conditionalFormatting sqref="A1784:G1784">
    <cfRule type="expression" dxfId="0" priority="1189">
      <formula>COUNTIF($G1784, "TRUE") = 1</formula>
    </cfRule>
    <cfRule type="expression" dxfId="1" priority="1190">
      <formula>COUNTIF($G1784, "FALSE") = 1</formula>
    </cfRule>
  </conditionalFormatting>
  <conditionalFormatting sqref="A1787:G1787">
    <cfRule type="expression" dxfId="0" priority="1191">
      <formula>COUNTIF($G1787, "TRUE") = 1</formula>
    </cfRule>
    <cfRule type="expression" dxfId="1" priority="1192">
      <formula>COUNTIF($G1787, "FALSE") = 1</formula>
    </cfRule>
  </conditionalFormatting>
  <conditionalFormatting sqref="A1790:G1790">
    <cfRule type="expression" dxfId="0" priority="1193">
      <formula>COUNTIF($G1790, "TRUE") = 1</formula>
    </cfRule>
    <cfRule type="expression" dxfId="1" priority="1194">
      <formula>COUNTIF($G1790, "FALSE") = 1</formula>
    </cfRule>
  </conditionalFormatting>
  <conditionalFormatting sqref="A1793:G1793">
    <cfRule type="expression" dxfId="0" priority="1195">
      <formula>COUNTIF($G1793, "TRUE") = 1</formula>
    </cfRule>
    <cfRule type="expression" dxfId="1" priority="1196">
      <formula>COUNTIF($G1793, "FALSE") = 1</formula>
    </cfRule>
  </conditionalFormatting>
  <conditionalFormatting sqref="A1796:G1796">
    <cfRule type="expression" dxfId="0" priority="1197">
      <formula>COUNTIF($G1796, "TRUE") = 1</formula>
    </cfRule>
    <cfRule type="expression" dxfId="1" priority="1198">
      <formula>COUNTIF($G1796, "FALSE") = 1</formula>
    </cfRule>
  </conditionalFormatting>
  <conditionalFormatting sqref="A1799:G1799">
    <cfRule type="expression" dxfId="0" priority="1199">
      <formula>COUNTIF($G1799, "TRUE") = 1</formula>
    </cfRule>
    <cfRule type="expression" dxfId="1" priority="1200">
      <formula>COUNTIF($G1799, "FALSE") = 1</formula>
    </cfRule>
  </conditionalFormatting>
  <conditionalFormatting sqref="A179:G179">
    <cfRule type="expression" dxfId="0" priority="119">
      <formula>COUNTIF($G179, "TRUE") = 1</formula>
    </cfRule>
    <cfRule type="expression" dxfId="1" priority="120">
      <formula>COUNTIF($G179, "FALSE") = 1</formula>
    </cfRule>
  </conditionalFormatting>
  <conditionalFormatting sqref="A17:G17">
    <cfRule type="expression" dxfId="0" priority="11">
      <formula>COUNTIF($G17, "TRUE") = 1</formula>
    </cfRule>
    <cfRule type="expression" dxfId="1" priority="12">
      <formula>COUNTIF($G17, "FALSE") = 1</formula>
    </cfRule>
  </conditionalFormatting>
  <conditionalFormatting sqref="A1802:G1802">
    <cfRule type="expression" dxfId="0" priority="1201">
      <formula>COUNTIF($G1802, "TRUE") = 1</formula>
    </cfRule>
    <cfRule type="expression" dxfId="1" priority="1202">
      <formula>COUNTIF($G1802, "FALSE") = 1</formula>
    </cfRule>
  </conditionalFormatting>
  <conditionalFormatting sqref="A1805:G1805">
    <cfRule type="expression" dxfId="0" priority="1203">
      <formula>COUNTIF($G1805, "TRUE") = 1</formula>
    </cfRule>
    <cfRule type="expression" dxfId="1" priority="1204">
      <formula>COUNTIF($G1805, "FALSE") = 1</formula>
    </cfRule>
  </conditionalFormatting>
  <conditionalFormatting sqref="A1808:G1808">
    <cfRule type="expression" dxfId="0" priority="1205">
      <formula>COUNTIF($G1808, "TRUE") = 1</formula>
    </cfRule>
    <cfRule type="expression" dxfId="1" priority="1206">
      <formula>COUNTIF($G1808, "FALSE") = 1</formula>
    </cfRule>
  </conditionalFormatting>
  <conditionalFormatting sqref="A1811:G1811">
    <cfRule type="expression" dxfId="0" priority="1207">
      <formula>COUNTIF($G1811, "TRUE") = 1</formula>
    </cfRule>
    <cfRule type="expression" dxfId="1" priority="1208">
      <formula>COUNTIF($G1811, "FALSE") = 1</formula>
    </cfRule>
  </conditionalFormatting>
  <conditionalFormatting sqref="A1814:G1814">
    <cfRule type="expression" dxfId="0" priority="1209">
      <formula>COUNTIF($G1814, "TRUE") = 1</formula>
    </cfRule>
    <cfRule type="expression" dxfId="1" priority="1210">
      <formula>COUNTIF($G1814, "FALSE") = 1</formula>
    </cfRule>
  </conditionalFormatting>
  <conditionalFormatting sqref="A1817:G1817">
    <cfRule type="expression" dxfId="0" priority="1211">
      <formula>COUNTIF($G1817, "TRUE") = 1</formula>
    </cfRule>
    <cfRule type="expression" dxfId="1" priority="1212">
      <formula>COUNTIF($G1817, "FALSE") = 1</formula>
    </cfRule>
  </conditionalFormatting>
  <conditionalFormatting sqref="A1820:G1820">
    <cfRule type="expression" dxfId="0" priority="1213">
      <formula>COUNTIF($G1820, "TRUE") = 1</formula>
    </cfRule>
    <cfRule type="expression" dxfId="1" priority="1214">
      <formula>COUNTIF($G1820, "FALSE") = 1</formula>
    </cfRule>
  </conditionalFormatting>
  <conditionalFormatting sqref="A1823:G1823">
    <cfRule type="expression" dxfId="0" priority="1215">
      <formula>COUNTIF($G1823, "TRUE") = 1</formula>
    </cfRule>
    <cfRule type="expression" dxfId="1" priority="1216">
      <formula>COUNTIF($G1823, "FALSE") = 1</formula>
    </cfRule>
  </conditionalFormatting>
  <conditionalFormatting sqref="A1826:G1826">
    <cfRule type="expression" dxfId="0" priority="1217">
      <formula>COUNTIF($G1826, "TRUE") = 1</formula>
    </cfRule>
    <cfRule type="expression" dxfId="1" priority="1218">
      <formula>COUNTIF($G1826, "FALSE") = 1</formula>
    </cfRule>
  </conditionalFormatting>
  <conditionalFormatting sqref="A1829:G1829">
    <cfRule type="expression" dxfId="0" priority="1219">
      <formula>COUNTIF($G1829, "TRUE") = 1</formula>
    </cfRule>
    <cfRule type="expression" dxfId="1" priority="1220">
      <formula>COUNTIF($G1829, "FALSE") = 1</formula>
    </cfRule>
  </conditionalFormatting>
  <conditionalFormatting sqref="A182:G182">
    <cfRule type="expression" dxfId="0" priority="121">
      <formula>COUNTIF($G182, "TRUE") = 1</formula>
    </cfRule>
    <cfRule type="expression" dxfId="1" priority="122">
      <formula>COUNTIF($G182, "FALSE") = 1</formula>
    </cfRule>
  </conditionalFormatting>
  <conditionalFormatting sqref="A1832:G1832">
    <cfRule type="expression" dxfId="0" priority="1221">
      <formula>COUNTIF($G1832, "TRUE") = 1</formula>
    </cfRule>
    <cfRule type="expression" dxfId="1" priority="1222">
      <formula>COUNTIF($G1832, "FALSE") = 1</formula>
    </cfRule>
  </conditionalFormatting>
  <conditionalFormatting sqref="A1835:G1835">
    <cfRule type="expression" dxfId="0" priority="1223">
      <formula>COUNTIF($G1835, "TRUE") = 1</formula>
    </cfRule>
    <cfRule type="expression" dxfId="1" priority="1224">
      <formula>COUNTIF($G1835, "FALSE") = 1</formula>
    </cfRule>
  </conditionalFormatting>
  <conditionalFormatting sqref="A1838:G1838">
    <cfRule type="expression" dxfId="0" priority="1225">
      <formula>COUNTIF($G1838, "TRUE") = 1</formula>
    </cfRule>
    <cfRule type="expression" dxfId="1" priority="1226">
      <formula>COUNTIF($G1838, "FALSE") = 1</formula>
    </cfRule>
  </conditionalFormatting>
  <conditionalFormatting sqref="A1841:G1841">
    <cfRule type="expression" dxfId="0" priority="1227">
      <formula>COUNTIF($G1841, "TRUE") = 1</formula>
    </cfRule>
    <cfRule type="expression" dxfId="1" priority="1228">
      <formula>COUNTIF($G1841, "FALSE") = 1</formula>
    </cfRule>
  </conditionalFormatting>
  <conditionalFormatting sqref="A1844:G1844">
    <cfRule type="expression" dxfId="0" priority="1229">
      <formula>COUNTIF($G1844, "TRUE") = 1</formula>
    </cfRule>
    <cfRule type="expression" dxfId="1" priority="1230">
      <formula>COUNTIF($G1844, "FALSE") = 1</formula>
    </cfRule>
  </conditionalFormatting>
  <conditionalFormatting sqref="A1847:G1847">
    <cfRule type="expression" dxfId="0" priority="1231">
      <formula>COUNTIF($G1847, "TRUE") = 1</formula>
    </cfRule>
    <cfRule type="expression" dxfId="1" priority="1232">
      <formula>COUNTIF($G1847, "FALSE") = 1</formula>
    </cfRule>
  </conditionalFormatting>
  <conditionalFormatting sqref="A1850:G1850">
    <cfRule type="expression" dxfId="0" priority="1233">
      <formula>COUNTIF($G1850, "TRUE") = 1</formula>
    </cfRule>
    <cfRule type="expression" dxfId="1" priority="1234">
      <formula>COUNTIF($G1850, "FALSE") = 1</formula>
    </cfRule>
  </conditionalFormatting>
  <conditionalFormatting sqref="A1853:G1853">
    <cfRule type="expression" dxfId="0" priority="1235">
      <formula>COUNTIF($G1853, "TRUE") = 1</formula>
    </cfRule>
    <cfRule type="expression" dxfId="1" priority="1236">
      <formula>COUNTIF($G1853, "FALSE") = 1</formula>
    </cfRule>
  </conditionalFormatting>
  <conditionalFormatting sqref="A1856:G1856">
    <cfRule type="expression" dxfId="0" priority="1237">
      <formula>COUNTIF($G1856, "TRUE") = 1</formula>
    </cfRule>
    <cfRule type="expression" dxfId="1" priority="1238">
      <formula>COUNTIF($G1856, "FALSE") = 1</formula>
    </cfRule>
  </conditionalFormatting>
  <conditionalFormatting sqref="A1859:G1859">
    <cfRule type="expression" dxfId="0" priority="1239">
      <formula>COUNTIF($G1859, "TRUE") = 1</formula>
    </cfRule>
    <cfRule type="expression" dxfId="1" priority="1240">
      <formula>COUNTIF($G1859, "FALSE") = 1</formula>
    </cfRule>
  </conditionalFormatting>
  <conditionalFormatting sqref="A185:G185">
    <cfRule type="expression" dxfId="0" priority="123">
      <formula>COUNTIF($G185, "TRUE") = 1</formula>
    </cfRule>
    <cfRule type="expression" dxfId="1" priority="124">
      <formula>COUNTIF($G185, "FALSE") = 1</formula>
    </cfRule>
  </conditionalFormatting>
  <conditionalFormatting sqref="A1862:G1862">
    <cfRule type="expression" dxfId="0" priority="1241">
      <formula>COUNTIF($G1862, "TRUE") = 1</formula>
    </cfRule>
    <cfRule type="expression" dxfId="1" priority="1242">
      <formula>COUNTIF($G1862, "FALSE") = 1</formula>
    </cfRule>
  </conditionalFormatting>
  <conditionalFormatting sqref="A1865:G1865">
    <cfRule type="expression" dxfId="0" priority="1243">
      <formula>COUNTIF($G1865, "TRUE") = 1</formula>
    </cfRule>
    <cfRule type="expression" dxfId="1" priority="1244">
      <formula>COUNTIF($G1865, "FALSE") = 1</formula>
    </cfRule>
  </conditionalFormatting>
  <conditionalFormatting sqref="A1868:G1868">
    <cfRule type="expression" dxfId="0" priority="1245">
      <formula>COUNTIF($G1868, "TRUE") = 1</formula>
    </cfRule>
    <cfRule type="expression" dxfId="1" priority="1246">
      <formula>COUNTIF($G1868, "FALSE") = 1</formula>
    </cfRule>
  </conditionalFormatting>
  <conditionalFormatting sqref="A1871:G1871">
    <cfRule type="expression" dxfId="0" priority="1247">
      <formula>COUNTIF($G1871, "TRUE") = 1</formula>
    </cfRule>
    <cfRule type="expression" dxfId="1" priority="1248">
      <formula>COUNTIF($G1871, "FALSE") = 1</formula>
    </cfRule>
  </conditionalFormatting>
  <conditionalFormatting sqref="A1874:G1874">
    <cfRule type="expression" dxfId="0" priority="1249">
      <formula>COUNTIF($G1874, "TRUE") = 1</formula>
    </cfRule>
    <cfRule type="expression" dxfId="1" priority="1250">
      <formula>COUNTIF($G1874, "FALSE") = 1</formula>
    </cfRule>
  </conditionalFormatting>
  <conditionalFormatting sqref="A1877:G1877">
    <cfRule type="expression" dxfId="0" priority="1251">
      <formula>COUNTIF($G1877, "TRUE") = 1</formula>
    </cfRule>
    <cfRule type="expression" dxfId="1" priority="1252">
      <formula>COUNTIF($G1877, "FALSE") = 1</formula>
    </cfRule>
  </conditionalFormatting>
  <conditionalFormatting sqref="A1880:G1880">
    <cfRule type="expression" dxfId="0" priority="1253">
      <formula>COUNTIF($G1880, "TRUE") = 1</formula>
    </cfRule>
    <cfRule type="expression" dxfId="1" priority="1254">
      <formula>COUNTIF($G1880, "FALSE") = 1</formula>
    </cfRule>
  </conditionalFormatting>
  <conditionalFormatting sqref="A1883:G1883">
    <cfRule type="expression" dxfId="0" priority="1255">
      <formula>COUNTIF($G1883, "TRUE") = 1</formula>
    </cfRule>
    <cfRule type="expression" dxfId="1" priority="1256">
      <formula>COUNTIF($G1883, "FALSE") = 1</formula>
    </cfRule>
  </conditionalFormatting>
  <conditionalFormatting sqref="A1886:G1886">
    <cfRule type="expression" dxfId="0" priority="1257">
      <formula>COUNTIF($G1886, "TRUE") = 1</formula>
    </cfRule>
    <cfRule type="expression" dxfId="1" priority="1258">
      <formula>COUNTIF($G1886, "FALSE") = 1</formula>
    </cfRule>
  </conditionalFormatting>
  <conditionalFormatting sqref="A1889:G1889">
    <cfRule type="expression" dxfId="0" priority="1259">
      <formula>COUNTIF($G1889, "TRUE") = 1</formula>
    </cfRule>
    <cfRule type="expression" dxfId="1" priority="1260">
      <formula>COUNTIF($G1889, "FALSE") = 1</formula>
    </cfRule>
  </conditionalFormatting>
  <conditionalFormatting sqref="A188:G188">
    <cfRule type="expression" dxfId="0" priority="125">
      <formula>COUNTIF($G188, "TRUE") = 1</formula>
    </cfRule>
    <cfRule type="expression" dxfId="1" priority="126">
      <formula>COUNTIF($G188, "FALSE") = 1</formula>
    </cfRule>
  </conditionalFormatting>
  <conditionalFormatting sqref="A1892:G1892">
    <cfRule type="expression" dxfId="0" priority="1261">
      <formula>COUNTIF($G1892, "TRUE") = 1</formula>
    </cfRule>
    <cfRule type="expression" dxfId="1" priority="1262">
      <formula>COUNTIF($G1892, "FALSE") = 1</formula>
    </cfRule>
  </conditionalFormatting>
  <conditionalFormatting sqref="A1895:G1895">
    <cfRule type="expression" dxfId="0" priority="1263">
      <formula>COUNTIF($G1895, "TRUE") = 1</formula>
    </cfRule>
    <cfRule type="expression" dxfId="1" priority="1264">
      <formula>COUNTIF($G1895, "FALSE") = 1</formula>
    </cfRule>
  </conditionalFormatting>
  <conditionalFormatting sqref="A1898:G1898">
    <cfRule type="expression" dxfId="0" priority="1265">
      <formula>COUNTIF($G1898, "TRUE") = 1</formula>
    </cfRule>
    <cfRule type="expression" dxfId="1" priority="1266">
      <formula>COUNTIF($G1898, "FALSE") = 1</formula>
    </cfRule>
  </conditionalFormatting>
  <conditionalFormatting sqref="A1901:G1901">
    <cfRule type="expression" dxfId="0" priority="1267">
      <formula>COUNTIF($G1901, "TRUE") = 1</formula>
    </cfRule>
    <cfRule type="expression" dxfId="1" priority="1268">
      <formula>COUNTIF($G1901, "FALSE") = 1</formula>
    </cfRule>
  </conditionalFormatting>
  <conditionalFormatting sqref="A1904:G1904">
    <cfRule type="expression" dxfId="0" priority="1269">
      <formula>COUNTIF($G1904, "TRUE") = 1</formula>
    </cfRule>
    <cfRule type="expression" dxfId="1" priority="1270">
      <formula>COUNTIF($G1904, "FALSE") = 1</formula>
    </cfRule>
  </conditionalFormatting>
  <conditionalFormatting sqref="A1907:G1907">
    <cfRule type="expression" dxfId="0" priority="1271">
      <formula>COUNTIF($G1907, "TRUE") = 1</formula>
    </cfRule>
    <cfRule type="expression" dxfId="1" priority="1272">
      <formula>COUNTIF($G1907, "FALSE") = 1</formula>
    </cfRule>
  </conditionalFormatting>
  <conditionalFormatting sqref="A1910:G1910">
    <cfRule type="expression" dxfId="0" priority="1273">
      <formula>COUNTIF($G1910, "TRUE") = 1</formula>
    </cfRule>
    <cfRule type="expression" dxfId="1" priority="1274">
      <formula>COUNTIF($G1910, "FALSE") = 1</formula>
    </cfRule>
  </conditionalFormatting>
  <conditionalFormatting sqref="A1913:G1913">
    <cfRule type="expression" dxfId="0" priority="1275">
      <formula>COUNTIF($G1913, "TRUE") = 1</formula>
    </cfRule>
    <cfRule type="expression" dxfId="1" priority="1276">
      <formula>COUNTIF($G1913, "FALSE") = 1</formula>
    </cfRule>
  </conditionalFormatting>
  <conditionalFormatting sqref="A1916:G1916">
    <cfRule type="expression" dxfId="0" priority="1277">
      <formula>COUNTIF($G1916, "TRUE") = 1</formula>
    </cfRule>
    <cfRule type="expression" dxfId="1" priority="1278">
      <formula>COUNTIF($G1916, "FALSE") = 1</formula>
    </cfRule>
  </conditionalFormatting>
  <conditionalFormatting sqref="A1919:G1919">
    <cfRule type="expression" dxfId="0" priority="1279">
      <formula>COUNTIF($G1919, "TRUE") = 1</formula>
    </cfRule>
    <cfRule type="expression" dxfId="1" priority="1280">
      <formula>COUNTIF($G1919, "FALSE") = 1</formula>
    </cfRule>
  </conditionalFormatting>
  <conditionalFormatting sqref="A191:G191">
    <cfRule type="expression" dxfId="0" priority="127">
      <formula>COUNTIF($G191, "TRUE") = 1</formula>
    </cfRule>
    <cfRule type="expression" dxfId="1" priority="128">
      <formula>COUNTIF($G191, "FALSE") = 1</formula>
    </cfRule>
  </conditionalFormatting>
  <conditionalFormatting sqref="A1922:G1922">
    <cfRule type="expression" dxfId="0" priority="1281">
      <formula>COUNTIF($G1922, "TRUE") = 1</formula>
    </cfRule>
    <cfRule type="expression" dxfId="1" priority="1282">
      <formula>COUNTIF($G1922, "FALSE") = 1</formula>
    </cfRule>
  </conditionalFormatting>
  <conditionalFormatting sqref="A1925:G1925">
    <cfRule type="expression" dxfId="0" priority="1283">
      <formula>COUNTIF($G1925, "TRUE") = 1</formula>
    </cfRule>
    <cfRule type="expression" dxfId="1" priority="1284">
      <formula>COUNTIF($G1925, "FALSE") = 1</formula>
    </cfRule>
  </conditionalFormatting>
  <conditionalFormatting sqref="A1928:G1928">
    <cfRule type="expression" dxfId="0" priority="1285">
      <formula>COUNTIF($G1928, "TRUE") = 1</formula>
    </cfRule>
    <cfRule type="expression" dxfId="1" priority="1286">
      <formula>COUNTIF($G1928, "FALSE") = 1</formula>
    </cfRule>
  </conditionalFormatting>
  <conditionalFormatting sqref="A1931:G1931">
    <cfRule type="expression" dxfId="0" priority="1287">
      <formula>COUNTIF($G1931, "TRUE") = 1</formula>
    </cfRule>
    <cfRule type="expression" dxfId="1" priority="1288">
      <formula>COUNTIF($G1931, "FALSE") = 1</formula>
    </cfRule>
  </conditionalFormatting>
  <conditionalFormatting sqref="A1934:G1934">
    <cfRule type="expression" dxfId="0" priority="1289">
      <formula>COUNTIF($G1934, "TRUE") = 1</formula>
    </cfRule>
    <cfRule type="expression" dxfId="1" priority="1290">
      <formula>COUNTIF($G1934, "FALSE") = 1</formula>
    </cfRule>
  </conditionalFormatting>
  <conditionalFormatting sqref="A1937:G1937">
    <cfRule type="expression" dxfId="0" priority="1291">
      <formula>COUNTIF($G1937, "TRUE") = 1</formula>
    </cfRule>
    <cfRule type="expression" dxfId="1" priority="1292">
      <formula>COUNTIF($G1937, "FALSE") = 1</formula>
    </cfRule>
  </conditionalFormatting>
  <conditionalFormatting sqref="A1940:G1940">
    <cfRule type="expression" dxfId="0" priority="1293">
      <formula>COUNTIF($G1940, "TRUE") = 1</formula>
    </cfRule>
    <cfRule type="expression" dxfId="1" priority="1294">
      <formula>COUNTIF($G1940, "FALSE") = 1</formula>
    </cfRule>
  </conditionalFormatting>
  <conditionalFormatting sqref="A1943:G1943">
    <cfRule type="expression" dxfId="0" priority="1295">
      <formula>COUNTIF($G1943, "TRUE") = 1</formula>
    </cfRule>
    <cfRule type="expression" dxfId="1" priority="1296">
      <formula>COUNTIF($G1943, "FALSE") = 1</formula>
    </cfRule>
  </conditionalFormatting>
  <conditionalFormatting sqref="A1946:G1946">
    <cfRule type="expression" dxfId="0" priority="1297">
      <formula>COUNTIF($G1946, "TRUE") = 1</formula>
    </cfRule>
    <cfRule type="expression" dxfId="1" priority="1298">
      <formula>COUNTIF($G1946, "FALSE") = 1</formula>
    </cfRule>
  </conditionalFormatting>
  <conditionalFormatting sqref="A1949:G1949">
    <cfRule type="expression" dxfId="0" priority="1299">
      <formula>COUNTIF($G1949, "TRUE") = 1</formula>
    </cfRule>
    <cfRule type="expression" dxfId="1" priority="1300">
      <formula>COUNTIF($G1949, "FALSE") = 1</formula>
    </cfRule>
  </conditionalFormatting>
  <conditionalFormatting sqref="A194:G194">
    <cfRule type="expression" dxfId="0" priority="129">
      <formula>COUNTIF($G194, "TRUE") = 1</formula>
    </cfRule>
    <cfRule type="expression" dxfId="1" priority="130">
      <formula>COUNTIF($G194, "FALSE") = 1</formula>
    </cfRule>
  </conditionalFormatting>
  <conditionalFormatting sqref="A1952:G1952">
    <cfRule type="expression" dxfId="0" priority="1301">
      <formula>COUNTIF($G1952, "TRUE") = 1</formula>
    </cfRule>
    <cfRule type="expression" dxfId="1" priority="1302">
      <formula>COUNTIF($G1952, "FALSE") = 1</formula>
    </cfRule>
  </conditionalFormatting>
  <conditionalFormatting sqref="A1955:G1955">
    <cfRule type="expression" dxfId="0" priority="1303">
      <formula>COUNTIF($G1955, "TRUE") = 1</formula>
    </cfRule>
    <cfRule type="expression" dxfId="1" priority="1304">
      <formula>COUNTIF($G1955, "FALSE") = 1</formula>
    </cfRule>
  </conditionalFormatting>
  <conditionalFormatting sqref="A1958:G1958">
    <cfRule type="expression" dxfId="0" priority="1305">
      <formula>COUNTIF($G1958, "TRUE") = 1</formula>
    </cfRule>
    <cfRule type="expression" dxfId="1" priority="1306">
      <formula>COUNTIF($G1958, "FALSE") = 1</formula>
    </cfRule>
  </conditionalFormatting>
  <conditionalFormatting sqref="A1961:G1961">
    <cfRule type="expression" dxfId="0" priority="1307">
      <formula>COUNTIF($G1961, "TRUE") = 1</formula>
    </cfRule>
    <cfRule type="expression" dxfId="1" priority="1308">
      <formula>COUNTIF($G1961, "FALSE") = 1</formula>
    </cfRule>
  </conditionalFormatting>
  <conditionalFormatting sqref="A1964:G1964">
    <cfRule type="expression" dxfId="0" priority="1309">
      <formula>COUNTIF($G1964, "TRUE") = 1</formula>
    </cfRule>
    <cfRule type="expression" dxfId="1" priority="1310">
      <formula>COUNTIF($G1964, "FALSE") = 1</formula>
    </cfRule>
  </conditionalFormatting>
  <conditionalFormatting sqref="A1967:G1967">
    <cfRule type="expression" dxfId="0" priority="1311">
      <formula>COUNTIF($G1967, "TRUE") = 1</formula>
    </cfRule>
    <cfRule type="expression" dxfId="1" priority="1312">
      <formula>COUNTIF($G1967, "FALSE") = 1</formula>
    </cfRule>
  </conditionalFormatting>
  <conditionalFormatting sqref="A1970:G1970">
    <cfRule type="expression" dxfId="0" priority="1313">
      <formula>COUNTIF($G1970, "TRUE") = 1</formula>
    </cfRule>
    <cfRule type="expression" dxfId="1" priority="1314">
      <formula>COUNTIF($G1970, "FALSE") = 1</formula>
    </cfRule>
  </conditionalFormatting>
  <conditionalFormatting sqref="A1973:G1973">
    <cfRule type="expression" dxfId="0" priority="1315">
      <formula>COUNTIF($G1973, "TRUE") = 1</formula>
    </cfRule>
    <cfRule type="expression" dxfId="1" priority="1316">
      <formula>COUNTIF($G1973, "FALSE") = 1</formula>
    </cfRule>
  </conditionalFormatting>
  <conditionalFormatting sqref="A1976:G1976">
    <cfRule type="expression" dxfId="0" priority="1317">
      <formula>COUNTIF($G1976, "TRUE") = 1</formula>
    </cfRule>
    <cfRule type="expression" dxfId="1" priority="1318">
      <formula>COUNTIF($G1976, "FALSE") = 1</formula>
    </cfRule>
  </conditionalFormatting>
  <conditionalFormatting sqref="A1979:G1979">
    <cfRule type="expression" dxfId="0" priority="1319">
      <formula>COUNTIF($G1979, "TRUE") = 1</formula>
    </cfRule>
    <cfRule type="expression" dxfId="1" priority="1320">
      <formula>COUNTIF($G1979, "FALSE") = 1</formula>
    </cfRule>
  </conditionalFormatting>
  <conditionalFormatting sqref="A197:G197">
    <cfRule type="expression" dxfId="0" priority="131">
      <formula>COUNTIF($G197, "TRUE") = 1</formula>
    </cfRule>
    <cfRule type="expression" dxfId="1" priority="132">
      <formula>COUNTIF($G197, "FALSE") = 1</formula>
    </cfRule>
  </conditionalFormatting>
  <conditionalFormatting sqref="A1982:G1982">
    <cfRule type="expression" dxfId="0" priority="1321">
      <formula>COUNTIF($G1982, "TRUE") = 1</formula>
    </cfRule>
    <cfRule type="expression" dxfId="1" priority="1322">
      <formula>COUNTIF($G1982, "FALSE") = 1</formula>
    </cfRule>
  </conditionalFormatting>
  <conditionalFormatting sqref="A1985:G1985">
    <cfRule type="expression" dxfId="0" priority="1323">
      <formula>COUNTIF($G1985, "TRUE") = 1</formula>
    </cfRule>
    <cfRule type="expression" dxfId="1" priority="1324">
      <formula>COUNTIF($G1985, "FALSE") = 1</formula>
    </cfRule>
  </conditionalFormatting>
  <conditionalFormatting sqref="A1988:G1988">
    <cfRule type="expression" dxfId="0" priority="1325">
      <formula>COUNTIF($G1988, "TRUE") = 1</formula>
    </cfRule>
    <cfRule type="expression" dxfId="1" priority="1326">
      <formula>COUNTIF($G1988, "FALSE") = 1</formula>
    </cfRule>
  </conditionalFormatting>
  <conditionalFormatting sqref="A1991:G1991">
    <cfRule type="expression" dxfId="0" priority="1327">
      <formula>COUNTIF($G1991, "TRUE") = 1</formula>
    </cfRule>
    <cfRule type="expression" dxfId="1" priority="1328">
      <formula>COUNTIF($G1991, "FALSE") = 1</formula>
    </cfRule>
  </conditionalFormatting>
  <conditionalFormatting sqref="A1994:G1994">
    <cfRule type="expression" dxfId="0" priority="1329">
      <formula>COUNTIF($G1994, "TRUE") = 1</formula>
    </cfRule>
    <cfRule type="expression" dxfId="1" priority="1330">
      <formula>COUNTIF($G1994, "FALSE") = 1</formula>
    </cfRule>
  </conditionalFormatting>
  <conditionalFormatting sqref="A1997:G1997">
    <cfRule type="expression" dxfId="0" priority="1331">
      <formula>COUNTIF($G1997, "TRUE") = 1</formula>
    </cfRule>
    <cfRule type="expression" dxfId="1" priority="1332">
      <formula>COUNTIF($G1997, "FALSE") = 1</formula>
    </cfRule>
  </conditionalFormatting>
  <conditionalFormatting sqref="A2000:G2000">
    <cfRule type="expression" dxfId="0" priority="1333">
      <formula>COUNTIF($G2000, "TRUE") = 1</formula>
    </cfRule>
    <cfRule type="expression" dxfId="1" priority="1334">
      <formula>COUNTIF($G2000, "FALSE") = 1</formula>
    </cfRule>
  </conditionalFormatting>
  <conditionalFormatting sqref="A2003:G2003">
    <cfRule type="expression" dxfId="0" priority="1335">
      <formula>COUNTIF($G2003, "TRUE") = 1</formula>
    </cfRule>
    <cfRule type="expression" dxfId="1" priority="1336">
      <formula>COUNTIF($G2003, "FALSE") = 1</formula>
    </cfRule>
  </conditionalFormatting>
  <conditionalFormatting sqref="A2006:G2006">
    <cfRule type="expression" dxfId="0" priority="1337">
      <formula>COUNTIF($G2006, "TRUE") = 1</formula>
    </cfRule>
    <cfRule type="expression" dxfId="1" priority="1338">
      <formula>COUNTIF($G2006, "FALSE") = 1</formula>
    </cfRule>
  </conditionalFormatting>
  <conditionalFormatting sqref="A2009:G2009">
    <cfRule type="expression" dxfId="0" priority="1339">
      <formula>COUNTIF($G2009, "TRUE") = 1</formula>
    </cfRule>
    <cfRule type="expression" dxfId="1" priority="1340">
      <formula>COUNTIF($G2009, "FALSE") = 1</formula>
    </cfRule>
  </conditionalFormatting>
  <conditionalFormatting sqref="A200:G200">
    <cfRule type="expression" dxfId="0" priority="133">
      <formula>COUNTIF($G200, "TRUE") = 1</formula>
    </cfRule>
    <cfRule type="expression" dxfId="1" priority="134">
      <formula>COUNTIF($G200, "FALSE") = 1</formula>
    </cfRule>
  </conditionalFormatting>
  <conditionalFormatting sqref="A2012:G2012">
    <cfRule type="expression" dxfId="0" priority="1341">
      <formula>COUNTIF($G2012, "TRUE") = 1</formula>
    </cfRule>
    <cfRule type="expression" dxfId="1" priority="1342">
      <formula>COUNTIF($G2012, "FALSE") = 1</formula>
    </cfRule>
  </conditionalFormatting>
  <conditionalFormatting sqref="A2015:G2015">
    <cfRule type="expression" dxfId="0" priority="1343">
      <formula>COUNTIF($G2015, "TRUE") = 1</formula>
    </cfRule>
    <cfRule type="expression" dxfId="1" priority="1344">
      <formula>COUNTIF($G2015, "FALSE") = 1</formula>
    </cfRule>
  </conditionalFormatting>
  <conditionalFormatting sqref="A2018:G2018">
    <cfRule type="expression" dxfId="0" priority="1345">
      <formula>COUNTIF($G2018, "TRUE") = 1</formula>
    </cfRule>
    <cfRule type="expression" dxfId="1" priority="1346">
      <formula>COUNTIF($G2018, "FALSE") = 1</formula>
    </cfRule>
  </conditionalFormatting>
  <conditionalFormatting sqref="A2021:G2021">
    <cfRule type="expression" dxfId="0" priority="1347">
      <formula>COUNTIF($G2021, "TRUE") = 1</formula>
    </cfRule>
    <cfRule type="expression" dxfId="1" priority="1348">
      <formula>COUNTIF($G2021, "FALSE") = 1</formula>
    </cfRule>
  </conditionalFormatting>
  <conditionalFormatting sqref="A2024:G2024">
    <cfRule type="expression" dxfId="0" priority="1349">
      <formula>COUNTIF($G2024, "TRUE") = 1</formula>
    </cfRule>
    <cfRule type="expression" dxfId="1" priority="1350">
      <formula>COUNTIF($G2024, "FALSE") = 1</formula>
    </cfRule>
  </conditionalFormatting>
  <conditionalFormatting sqref="A2027:G2027">
    <cfRule type="expression" dxfId="0" priority="1351">
      <formula>COUNTIF($G2027, "TRUE") = 1</formula>
    </cfRule>
    <cfRule type="expression" dxfId="1" priority="1352">
      <formula>COUNTIF($G2027, "FALSE") = 1</formula>
    </cfRule>
  </conditionalFormatting>
  <conditionalFormatting sqref="A2030:G2030">
    <cfRule type="expression" dxfId="0" priority="1353">
      <formula>COUNTIF($G2030, "TRUE") = 1</formula>
    </cfRule>
    <cfRule type="expression" dxfId="1" priority="1354">
      <formula>COUNTIF($G2030, "FALSE") = 1</formula>
    </cfRule>
  </conditionalFormatting>
  <conditionalFormatting sqref="A2033:G2033">
    <cfRule type="expression" dxfId="0" priority="1355">
      <formula>COUNTIF($G2033, "TRUE") = 1</formula>
    </cfRule>
    <cfRule type="expression" dxfId="1" priority="1356">
      <formula>COUNTIF($G2033, "FALSE") = 1</formula>
    </cfRule>
  </conditionalFormatting>
  <conditionalFormatting sqref="A2036:G2036">
    <cfRule type="expression" dxfId="0" priority="1357">
      <formula>COUNTIF($G2036, "TRUE") = 1</formula>
    </cfRule>
    <cfRule type="expression" dxfId="1" priority="1358">
      <formula>COUNTIF($G2036, "FALSE") = 1</formula>
    </cfRule>
  </conditionalFormatting>
  <conditionalFormatting sqref="A2039:G2039">
    <cfRule type="expression" dxfId="0" priority="1359">
      <formula>COUNTIF($G2039, "TRUE") = 1</formula>
    </cfRule>
    <cfRule type="expression" dxfId="1" priority="1360">
      <formula>COUNTIF($G2039, "FALSE") = 1</formula>
    </cfRule>
  </conditionalFormatting>
  <conditionalFormatting sqref="A203:G203">
    <cfRule type="expression" dxfId="0" priority="135">
      <formula>COUNTIF($G203, "TRUE") = 1</formula>
    </cfRule>
    <cfRule type="expression" dxfId="1" priority="136">
      <formula>COUNTIF($G203, "FALSE") = 1</formula>
    </cfRule>
  </conditionalFormatting>
  <conditionalFormatting sqref="A2042:G2042">
    <cfRule type="expression" dxfId="0" priority="1361">
      <formula>COUNTIF($G2042, "TRUE") = 1</formula>
    </cfRule>
    <cfRule type="expression" dxfId="1" priority="1362">
      <formula>COUNTIF($G2042, "FALSE") = 1</formula>
    </cfRule>
  </conditionalFormatting>
  <conditionalFormatting sqref="A2045:G2045">
    <cfRule type="expression" dxfId="0" priority="1363">
      <formula>COUNTIF($G2045, "TRUE") = 1</formula>
    </cfRule>
    <cfRule type="expression" dxfId="1" priority="1364">
      <formula>COUNTIF($G2045, "FALSE") = 1</formula>
    </cfRule>
  </conditionalFormatting>
  <conditionalFormatting sqref="A2048:G2048">
    <cfRule type="expression" dxfId="0" priority="1365">
      <formula>COUNTIF($G2048, "TRUE") = 1</formula>
    </cfRule>
    <cfRule type="expression" dxfId="1" priority="1366">
      <formula>COUNTIF($G2048, "FALSE") = 1</formula>
    </cfRule>
  </conditionalFormatting>
  <conditionalFormatting sqref="A2051:G2051">
    <cfRule type="expression" dxfId="0" priority="1367">
      <formula>COUNTIF($G2051, "TRUE") = 1</formula>
    </cfRule>
    <cfRule type="expression" dxfId="1" priority="1368">
      <formula>COUNTIF($G2051, "FALSE") = 1</formula>
    </cfRule>
  </conditionalFormatting>
  <conditionalFormatting sqref="A2054:G2054">
    <cfRule type="expression" dxfId="0" priority="1369">
      <formula>COUNTIF($G2054, "TRUE") = 1</formula>
    </cfRule>
    <cfRule type="expression" dxfId="1" priority="1370">
      <formula>COUNTIF($G2054, "FALSE") = 1</formula>
    </cfRule>
  </conditionalFormatting>
  <conditionalFormatting sqref="A2057:G2057">
    <cfRule type="expression" dxfId="0" priority="1371">
      <formula>COUNTIF($G2057, "TRUE") = 1</formula>
    </cfRule>
    <cfRule type="expression" dxfId="1" priority="1372">
      <formula>COUNTIF($G2057, "FALSE") = 1</formula>
    </cfRule>
  </conditionalFormatting>
  <conditionalFormatting sqref="A2060:G2060">
    <cfRule type="expression" dxfId="0" priority="1373">
      <formula>COUNTIF($G2060, "TRUE") = 1</formula>
    </cfRule>
    <cfRule type="expression" dxfId="1" priority="1374">
      <formula>COUNTIF($G2060, "FALSE") = 1</formula>
    </cfRule>
  </conditionalFormatting>
  <conditionalFormatting sqref="A2063:G2063">
    <cfRule type="expression" dxfId="0" priority="1375">
      <formula>COUNTIF($G2063, "TRUE") = 1</formula>
    </cfRule>
    <cfRule type="expression" dxfId="1" priority="1376">
      <formula>COUNTIF($G2063, "FALSE") = 1</formula>
    </cfRule>
  </conditionalFormatting>
  <conditionalFormatting sqref="A2066:G2066">
    <cfRule type="expression" dxfId="0" priority="1377">
      <formula>COUNTIF($G2066, "TRUE") = 1</formula>
    </cfRule>
    <cfRule type="expression" dxfId="1" priority="1378">
      <formula>COUNTIF($G2066, "FALSE") = 1</formula>
    </cfRule>
  </conditionalFormatting>
  <conditionalFormatting sqref="A2069:G2069">
    <cfRule type="expression" dxfId="0" priority="1379">
      <formula>COUNTIF($G2069, "TRUE") = 1</formula>
    </cfRule>
    <cfRule type="expression" dxfId="1" priority="1380">
      <formula>COUNTIF($G2069, "FALSE") = 1</formula>
    </cfRule>
  </conditionalFormatting>
  <conditionalFormatting sqref="A206:G206">
    <cfRule type="expression" dxfId="0" priority="137">
      <formula>COUNTIF($G206, "TRUE") = 1</formula>
    </cfRule>
    <cfRule type="expression" dxfId="1" priority="138">
      <formula>COUNTIF($G206, "FALSE") = 1</formula>
    </cfRule>
  </conditionalFormatting>
  <conditionalFormatting sqref="A2072:G2072">
    <cfRule type="expression" dxfId="0" priority="1381">
      <formula>COUNTIF($G2072, "TRUE") = 1</formula>
    </cfRule>
    <cfRule type="expression" dxfId="1" priority="1382">
      <formula>COUNTIF($G2072, "FALSE") = 1</formula>
    </cfRule>
  </conditionalFormatting>
  <conditionalFormatting sqref="A2075:G2075">
    <cfRule type="expression" dxfId="0" priority="1383">
      <formula>COUNTIF($G2075, "TRUE") = 1</formula>
    </cfRule>
    <cfRule type="expression" dxfId="1" priority="1384">
      <formula>COUNTIF($G2075, "FALSE") = 1</formula>
    </cfRule>
  </conditionalFormatting>
  <conditionalFormatting sqref="A2078:G2078">
    <cfRule type="expression" dxfId="0" priority="1385">
      <formula>COUNTIF($G2078, "TRUE") = 1</formula>
    </cfRule>
    <cfRule type="expression" dxfId="1" priority="1386">
      <formula>COUNTIF($G2078, "FALSE") = 1</formula>
    </cfRule>
  </conditionalFormatting>
  <conditionalFormatting sqref="A2081:G2081">
    <cfRule type="expression" dxfId="0" priority="1387">
      <formula>COUNTIF($G2081, "TRUE") = 1</formula>
    </cfRule>
    <cfRule type="expression" dxfId="1" priority="1388">
      <formula>COUNTIF($G2081, "FALSE") = 1</formula>
    </cfRule>
  </conditionalFormatting>
  <conditionalFormatting sqref="A2084:G2084">
    <cfRule type="expression" dxfId="0" priority="1389">
      <formula>COUNTIF($G2084, "TRUE") = 1</formula>
    </cfRule>
    <cfRule type="expression" dxfId="1" priority="1390">
      <formula>COUNTIF($G2084, "FALSE") = 1</formula>
    </cfRule>
  </conditionalFormatting>
  <conditionalFormatting sqref="A2087:G2087">
    <cfRule type="expression" dxfId="0" priority="1391">
      <formula>COUNTIF($G2087, "TRUE") = 1</formula>
    </cfRule>
    <cfRule type="expression" dxfId="1" priority="1392">
      <formula>COUNTIF($G2087, "FALSE") = 1</formula>
    </cfRule>
  </conditionalFormatting>
  <conditionalFormatting sqref="A2090:G2090">
    <cfRule type="expression" dxfId="0" priority="1393">
      <formula>COUNTIF($G2090, "TRUE") = 1</formula>
    </cfRule>
    <cfRule type="expression" dxfId="1" priority="1394">
      <formula>COUNTIF($G2090, "FALSE") = 1</formula>
    </cfRule>
  </conditionalFormatting>
  <conditionalFormatting sqref="A2093:G2093">
    <cfRule type="expression" dxfId="0" priority="1395">
      <formula>COUNTIF($G2093, "TRUE") = 1</formula>
    </cfRule>
    <cfRule type="expression" dxfId="1" priority="1396">
      <formula>COUNTIF($G2093, "FALSE") = 1</formula>
    </cfRule>
  </conditionalFormatting>
  <conditionalFormatting sqref="A2096:G2096">
    <cfRule type="expression" dxfId="0" priority="1397">
      <formula>COUNTIF($G2096, "TRUE") = 1</formula>
    </cfRule>
    <cfRule type="expression" dxfId="1" priority="1398">
      <formula>COUNTIF($G2096, "FALSE") = 1</formula>
    </cfRule>
  </conditionalFormatting>
  <conditionalFormatting sqref="A2099:G2099">
    <cfRule type="expression" dxfId="0" priority="1399">
      <formula>COUNTIF($G2099, "TRUE") = 1</formula>
    </cfRule>
    <cfRule type="expression" dxfId="1" priority="1400">
      <formula>COUNTIF($G2099, "FALSE") = 1</formula>
    </cfRule>
  </conditionalFormatting>
  <conditionalFormatting sqref="A209:G209">
    <cfRule type="expression" dxfId="0" priority="139">
      <formula>COUNTIF($G209, "TRUE") = 1</formula>
    </cfRule>
    <cfRule type="expression" dxfId="1" priority="140">
      <formula>COUNTIF($G209, "FALSE") = 1</formula>
    </cfRule>
  </conditionalFormatting>
  <conditionalFormatting sqref="A20:G20">
    <cfRule type="expression" dxfId="0" priority="13">
      <formula>COUNTIF($G20, "TRUE") = 1</formula>
    </cfRule>
    <cfRule type="expression" dxfId="1" priority="14">
      <formula>COUNTIF($G20, "FALSE") = 1</formula>
    </cfRule>
  </conditionalFormatting>
  <conditionalFormatting sqref="A2102:G2102">
    <cfRule type="expression" dxfId="0" priority="1401">
      <formula>COUNTIF($G2102, "TRUE") = 1</formula>
    </cfRule>
    <cfRule type="expression" dxfId="1" priority="1402">
      <formula>COUNTIF($G2102, "FALSE") = 1</formula>
    </cfRule>
  </conditionalFormatting>
  <conditionalFormatting sqref="A2105:G2105">
    <cfRule type="expression" dxfId="0" priority="1403">
      <formula>COUNTIF($G2105, "TRUE") = 1</formula>
    </cfRule>
    <cfRule type="expression" dxfId="1" priority="1404">
      <formula>COUNTIF($G2105, "FALSE") = 1</formula>
    </cfRule>
  </conditionalFormatting>
  <conditionalFormatting sqref="A2108:G2108">
    <cfRule type="expression" dxfId="0" priority="1405">
      <formula>COUNTIF($G2108, "TRUE") = 1</formula>
    </cfRule>
    <cfRule type="expression" dxfId="1" priority="1406">
      <formula>COUNTIF($G2108, "FALSE") = 1</formula>
    </cfRule>
  </conditionalFormatting>
  <conditionalFormatting sqref="A2111:G2111">
    <cfRule type="expression" dxfId="0" priority="1407">
      <formula>COUNTIF($G2111, "TRUE") = 1</formula>
    </cfRule>
    <cfRule type="expression" dxfId="1" priority="1408">
      <formula>COUNTIF($G2111, "FALSE") = 1</formula>
    </cfRule>
  </conditionalFormatting>
  <conditionalFormatting sqref="A2114:G2114">
    <cfRule type="expression" dxfId="0" priority="1409">
      <formula>COUNTIF($G2114, "TRUE") = 1</formula>
    </cfRule>
    <cfRule type="expression" dxfId="1" priority="1410">
      <formula>COUNTIF($G2114, "FALSE") = 1</formula>
    </cfRule>
  </conditionalFormatting>
  <conditionalFormatting sqref="A2117:G2117">
    <cfRule type="expression" dxfId="0" priority="1411">
      <formula>COUNTIF($G2117, "TRUE") = 1</formula>
    </cfRule>
    <cfRule type="expression" dxfId="1" priority="1412">
      <formula>COUNTIF($G2117, "FALSE") = 1</formula>
    </cfRule>
  </conditionalFormatting>
  <conditionalFormatting sqref="A2120:G2120">
    <cfRule type="expression" dxfId="0" priority="1413">
      <formula>COUNTIF($G2120, "TRUE") = 1</formula>
    </cfRule>
    <cfRule type="expression" dxfId="1" priority="1414">
      <formula>COUNTIF($G2120, "FALSE") = 1</formula>
    </cfRule>
  </conditionalFormatting>
  <conditionalFormatting sqref="A2123:G2123">
    <cfRule type="expression" dxfId="0" priority="1415">
      <formula>COUNTIF($G2123, "TRUE") = 1</formula>
    </cfRule>
    <cfRule type="expression" dxfId="1" priority="1416">
      <formula>COUNTIF($G2123, "FALSE") = 1</formula>
    </cfRule>
  </conditionalFormatting>
  <conditionalFormatting sqref="A2126:G2126">
    <cfRule type="expression" dxfId="0" priority="1417">
      <formula>COUNTIF($G2126, "TRUE") = 1</formula>
    </cfRule>
    <cfRule type="expression" dxfId="1" priority="1418">
      <formula>COUNTIF($G2126, "FALSE") = 1</formula>
    </cfRule>
  </conditionalFormatting>
  <conditionalFormatting sqref="A2129:G2129">
    <cfRule type="expression" dxfId="0" priority="1419">
      <formula>COUNTIF($G2129, "TRUE") = 1</formula>
    </cfRule>
    <cfRule type="expression" dxfId="1" priority="1420">
      <formula>COUNTIF($G2129, "FALSE") = 1</formula>
    </cfRule>
  </conditionalFormatting>
  <conditionalFormatting sqref="A212:G212">
    <cfRule type="expression" dxfId="0" priority="141">
      <formula>COUNTIF($G212, "TRUE") = 1</formula>
    </cfRule>
    <cfRule type="expression" dxfId="1" priority="142">
      <formula>COUNTIF($G212, "FALSE") = 1</formula>
    </cfRule>
  </conditionalFormatting>
  <conditionalFormatting sqref="A2132:G2132">
    <cfRule type="expression" dxfId="0" priority="1421">
      <formula>COUNTIF($G2132, "TRUE") = 1</formula>
    </cfRule>
    <cfRule type="expression" dxfId="1" priority="1422">
      <formula>COUNTIF($G2132, "FALSE") = 1</formula>
    </cfRule>
  </conditionalFormatting>
  <conditionalFormatting sqref="A2135:G2135">
    <cfRule type="expression" dxfId="0" priority="1423">
      <formula>COUNTIF($G2135, "TRUE") = 1</formula>
    </cfRule>
    <cfRule type="expression" dxfId="1" priority="1424">
      <formula>COUNTIF($G2135, "FALSE") = 1</formula>
    </cfRule>
  </conditionalFormatting>
  <conditionalFormatting sqref="A2138:G2138">
    <cfRule type="expression" dxfId="0" priority="1425">
      <formula>COUNTIF($G2138, "TRUE") = 1</formula>
    </cfRule>
    <cfRule type="expression" dxfId="1" priority="1426">
      <formula>COUNTIF($G2138, "FALSE") = 1</formula>
    </cfRule>
  </conditionalFormatting>
  <conditionalFormatting sqref="A2141:G2141">
    <cfRule type="expression" dxfId="0" priority="1427">
      <formula>COUNTIF($G2141, "TRUE") = 1</formula>
    </cfRule>
    <cfRule type="expression" dxfId="1" priority="1428">
      <formula>COUNTIF($G2141, "FALSE") = 1</formula>
    </cfRule>
  </conditionalFormatting>
  <conditionalFormatting sqref="A2144:G2144">
    <cfRule type="expression" dxfId="0" priority="1429">
      <formula>COUNTIF($G2144, "TRUE") = 1</formula>
    </cfRule>
    <cfRule type="expression" dxfId="1" priority="1430">
      <formula>COUNTIF($G2144, "FALSE") = 1</formula>
    </cfRule>
  </conditionalFormatting>
  <conditionalFormatting sqref="A2147:G2147">
    <cfRule type="expression" dxfId="0" priority="1431">
      <formula>COUNTIF($G2147, "TRUE") = 1</formula>
    </cfRule>
    <cfRule type="expression" dxfId="1" priority="1432">
      <formula>COUNTIF($G2147, "FALSE") = 1</formula>
    </cfRule>
  </conditionalFormatting>
  <conditionalFormatting sqref="A2150:G2150">
    <cfRule type="expression" dxfId="0" priority="1433">
      <formula>COUNTIF($G2150, "TRUE") = 1</formula>
    </cfRule>
    <cfRule type="expression" dxfId="1" priority="1434">
      <formula>COUNTIF($G2150, "FALSE") = 1</formula>
    </cfRule>
  </conditionalFormatting>
  <conditionalFormatting sqref="A2153:G2153">
    <cfRule type="expression" dxfId="0" priority="1435">
      <formula>COUNTIF($G2153, "TRUE") = 1</formula>
    </cfRule>
    <cfRule type="expression" dxfId="1" priority="1436">
      <formula>COUNTIF($G2153, "FALSE") = 1</formula>
    </cfRule>
  </conditionalFormatting>
  <conditionalFormatting sqref="A2156:G2156">
    <cfRule type="expression" dxfId="0" priority="1437">
      <formula>COUNTIF($G2156, "TRUE") = 1</formula>
    </cfRule>
    <cfRule type="expression" dxfId="1" priority="1438">
      <formula>COUNTIF($G2156, "FALSE") = 1</formula>
    </cfRule>
  </conditionalFormatting>
  <conditionalFormatting sqref="A2159:G2159">
    <cfRule type="expression" dxfId="0" priority="1439">
      <formula>COUNTIF($G2159, "TRUE") = 1</formula>
    </cfRule>
    <cfRule type="expression" dxfId="1" priority="1440">
      <formula>COUNTIF($G2159, "FALSE") = 1</formula>
    </cfRule>
  </conditionalFormatting>
  <conditionalFormatting sqref="A215:G215">
    <cfRule type="expression" dxfId="0" priority="143">
      <formula>COUNTIF($G215, "TRUE") = 1</formula>
    </cfRule>
    <cfRule type="expression" dxfId="1" priority="144">
      <formula>COUNTIF($G215, "FALSE") = 1</formula>
    </cfRule>
  </conditionalFormatting>
  <conditionalFormatting sqref="A2162:G2162">
    <cfRule type="expression" dxfId="0" priority="1441">
      <formula>COUNTIF($G2162, "TRUE") = 1</formula>
    </cfRule>
    <cfRule type="expression" dxfId="1" priority="1442">
      <formula>COUNTIF($G2162, "FALSE") = 1</formula>
    </cfRule>
  </conditionalFormatting>
  <conditionalFormatting sqref="A2165:G2165">
    <cfRule type="expression" dxfId="0" priority="1443">
      <formula>COUNTIF($G2165, "TRUE") = 1</formula>
    </cfRule>
    <cfRule type="expression" dxfId="1" priority="1444">
      <formula>COUNTIF($G2165, "FALSE") = 1</formula>
    </cfRule>
  </conditionalFormatting>
  <conditionalFormatting sqref="A2168:G2168">
    <cfRule type="expression" dxfId="0" priority="1445">
      <formula>COUNTIF($G2168, "TRUE") = 1</formula>
    </cfRule>
    <cfRule type="expression" dxfId="1" priority="1446">
      <formula>COUNTIF($G2168, "FALSE") = 1</formula>
    </cfRule>
  </conditionalFormatting>
  <conditionalFormatting sqref="A2171:G2171">
    <cfRule type="expression" dxfId="0" priority="1447">
      <formula>COUNTIF($G2171, "TRUE") = 1</formula>
    </cfRule>
    <cfRule type="expression" dxfId="1" priority="1448">
      <formula>COUNTIF($G2171, "FALSE") = 1</formula>
    </cfRule>
  </conditionalFormatting>
  <conditionalFormatting sqref="A2174:G2174">
    <cfRule type="expression" dxfId="0" priority="1449">
      <formula>COUNTIF($G2174, "TRUE") = 1</formula>
    </cfRule>
    <cfRule type="expression" dxfId="1" priority="1450">
      <formula>COUNTIF($G2174, "FALSE") = 1</formula>
    </cfRule>
  </conditionalFormatting>
  <conditionalFormatting sqref="A2177:G2177">
    <cfRule type="expression" dxfId="0" priority="1451">
      <formula>COUNTIF($G2177, "TRUE") = 1</formula>
    </cfRule>
    <cfRule type="expression" dxfId="1" priority="1452">
      <formula>COUNTIF($G2177, "FALSE") = 1</formula>
    </cfRule>
  </conditionalFormatting>
  <conditionalFormatting sqref="A2180:G2180">
    <cfRule type="expression" dxfId="0" priority="1453">
      <formula>COUNTIF($G2180, "TRUE") = 1</formula>
    </cfRule>
    <cfRule type="expression" dxfId="1" priority="1454">
      <formula>COUNTIF($G2180, "FALSE") = 1</formula>
    </cfRule>
  </conditionalFormatting>
  <conditionalFormatting sqref="A2183:G2183">
    <cfRule type="expression" dxfId="0" priority="1455">
      <formula>COUNTIF($G2183, "TRUE") = 1</formula>
    </cfRule>
    <cfRule type="expression" dxfId="1" priority="1456">
      <formula>COUNTIF($G2183, "FALSE") = 1</formula>
    </cfRule>
  </conditionalFormatting>
  <conditionalFormatting sqref="A2186:G2186">
    <cfRule type="expression" dxfId="0" priority="1457">
      <formula>COUNTIF($G2186, "TRUE") = 1</formula>
    </cfRule>
    <cfRule type="expression" dxfId="1" priority="1458">
      <formula>COUNTIF($G2186, "FALSE") = 1</formula>
    </cfRule>
  </conditionalFormatting>
  <conditionalFormatting sqref="A2189:G2189">
    <cfRule type="expression" dxfId="0" priority="1459">
      <formula>COUNTIF($G2189, "TRUE") = 1</formula>
    </cfRule>
    <cfRule type="expression" dxfId="1" priority="1460">
      <formula>COUNTIF($G2189, "FALSE") = 1</formula>
    </cfRule>
  </conditionalFormatting>
  <conditionalFormatting sqref="A218:G218">
    <cfRule type="expression" dxfId="0" priority="145">
      <formula>COUNTIF($G218, "TRUE") = 1</formula>
    </cfRule>
    <cfRule type="expression" dxfId="1" priority="146">
      <formula>COUNTIF($G218, "FALSE") = 1</formula>
    </cfRule>
  </conditionalFormatting>
  <conditionalFormatting sqref="A2192:G2192">
    <cfRule type="expression" dxfId="0" priority="1461">
      <formula>COUNTIF($G2192, "TRUE") = 1</formula>
    </cfRule>
    <cfRule type="expression" dxfId="1" priority="1462">
      <formula>COUNTIF($G2192, "FALSE") = 1</formula>
    </cfRule>
  </conditionalFormatting>
  <conditionalFormatting sqref="A2195:G2195">
    <cfRule type="expression" dxfId="0" priority="1463">
      <formula>COUNTIF($G2195, "TRUE") = 1</formula>
    </cfRule>
    <cfRule type="expression" dxfId="1" priority="1464">
      <formula>COUNTIF($G2195, "FALSE") = 1</formula>
    </cfRule>
  </conditionalFormatting>
  <conditionalFormatting sqref="A2198:G2198">
    <cfRule type="expression" dxfId="0" priority="1465">
      <formula>COUNTIF($G2198, "TRUE") = 1</formula>
    </cfRule>
    <cfRule type="expression" dxfId="1" priority="1466">
      <formula>COUNTIF($G2198, "FALSE") = 1</formula>
    </cfRule>
  </conditionalFormatting>
  <conditionalFormatting sqref="A2201:G2201">
    <cfRule type="expression" dxfId="0" priority="1467">
      <formula>COUNTIF($G2201, "TRUE") = 1</formula>
    </cfRule>
    <cfRule type="expression" dxfId="1" priority="1468">
      <formula>COUNTIF($G2201, "FALSE") = 1</formula>
    </cfRule>
  </conditionalFormatting>
  <conditionalFormatting sqref="A2204:G2204">
    <cfRule type="expression" dxfId="0" priority="1469">
      <formula>COUNTIF($G2204, "TRUE") = 1</formula>
    </cfRule>
    <cfRule type="expression" dxfId="1" priority="1470">
      <formula>COUNTIF($G2204, "FALSE") = 1</formula>
    </cfRule>
  </conditionalFormatting>
  <conditionalFormatting sqref="A2207:G2207">
    <cfRule type="expression" dxfId="0" priority="1471">
      <formula>COUNTIF($G2207, "TRUE") = 1</formula>
    </cfRule>
    <cfRule type="expression" dxfId="1" priority="1472">
      <formula>COUNTIF($G2207, "FALSE") = 1</formula>
    </cfRule>
  </conditionalFormatting>
  <conditionalFormatting sqref="A2210:G2210">
    <cfRule type="expression" dxfId="0" priority="1473">
      <formula>COUNTIF($G2210, "TRUE") = 1</formula>
    </cfRule>
    <cfRule type="expression" dxfId="1" priority="1474">
      <formula>COUNTIF($G2210, "FALSE") = 1</formula>
    </cfRule>
  </conditionalFormatting>
  <conditionalFormatting sqref="A2213:G2213">
    <cfRule type="expression" dxfId="0" priority="1475">
      <formula>COUNTIF($G2213, "TRUE") = 1</formula>
    </cfRule>
    <cfRule type="expression" dxfId="1" priority="1476">
      <formula>COUNTIF($G2213, "FALSE") = 1</formula>
    </cfRule>
  </conditionalFormatting>
  <conditionalFormatting sqref="A2216:G2216">
    <cfRule type="expression" dxfId="0" priority="1477">
      <formula>COUNTIF($G2216, "TRUE") = 1</formula>
    </cfRule>
    <cfRule type="expression" dxfId="1" priority="1478">
      <formula>COUNTIF($G2216, "FALSE") = 1</formula>
    </cfRule>
  </conditionalFormatting>
  <conditionalFormatting sqref="A2219:G2219">
    <cfRule type="expression" dxfId="0" priority="1479">
      <formula>COUNTIF($G2219, "TRUE") = 1</formula>
    </cfRule>
    <cfRule type="expression" dxfId="1" priority="1480">
      <formula>COUNTIF($G2219, "FALSE") = 1</formula>
    </cfRule>
  </conditionalFormatting>
  <conditionalFormatting sqref="A221:G221">
    <cfRule type="expression" dxfId="0" priority="147">
      <formula>COUNTIF($G221, "TRUE") = 1</formula>
    </cfRule>
    <cfRule type="expression" dxfId="1" priority="148">
      <formula>COUNTIF($G221, "FALSE") = 1</formula>
    </cfRule>
  </conditionalFormatting>
  <conditionalFormatting sqref="A2222:G2222">
    <cfRule type="expression" dxfId="0" priority="1481">
      <formula>COUNTIF($G2222, "TRUE") = 1</formula>
    </cfRule>
    <cfRule type="expression" dxfId="1" priority="1482">
      <formula>COUNTIF($G2222, "FALSE") = 1</formula>
    </cfRule>
  </conditionalFormatting>
  <conditionalFormatting sqref="A2225:G2225">
    <cfRule type="expression" dxfId="0" priority="1483">
      <formula>COUNTIF($G2225, "TRUE") = 1</formula>
    </cfRule>
    <cfRule type="expression" dxfId="1" priority="1484">
      <formula>COUNTIF($G2225, "FALSE") = 1</formula>
    </cfRule>
  </conditionalFormatting>
  <conditionalFormatting sqref="A2228:G2228">
    <cfRule type="expression" dxfId="0" priority="1485">
      <formula>COUNTIF($G2228, "TRUE") = 1</formula>
    </cfRule>
    <cfRule type="expression" dxfId="1" priority="1486">
      <formula>COUNTIF($G2228, "FALSE") = 1</formula>
    </cfRule>
  </conditionalFormatting>
  <conditionalFormatting sqref="A2231:G2231">
    <cfRule type="expression" dxfId="0" priority="1487">
      <formula>COUNTIF($G2231, "TRUE") = 1</formula>
    </cfRule>
    <cfRule type="expression" dxfId="1" priority="1488">
      <formula>COUNTIF($G2231, "FALSE") = 1</formula>
    </cfRule>
  </conditionalFormatting>
  <conditionalFormatting sqref="A2234:G2234">
    <cfRule type="expression" dxfId="0" priority="1489">
      <formula>COUNTIF($G2234, "TRUE") = 1</formula>
    </cfRule>
    <cfRule type="expression" dxfId="1" priority="1490">
      <formula>COUNTIF($G2234, "FALSE") = 1</formula>
    </cfRule>
  </conditionalFormatting>
  <conditionalFormatting sqref="A2237:G2237">
    <cfRule type="expression" dxfId="0" priority="1491">
      <formula>COUNTIF($G2237, "TRUE") = 1</formula>
    </cfRule>
    <cfRule type="expression" dxfId="1" priority="1492">
      <formula>COUNTIF($G2237, "FALSE") = 1</formula>
    </cfRule>
  </conditionalFormatting>
  <conditionalFormatting sqref="A2240:G2240">
    <cfRule type="expression" dxfId="0" priority="1493">
      <formula>COUNTIF($G2240, "TRUE") = 1</formula>
    </cfRule>
    <cfRule type="expression" dxfId="1" priority="1494">
      <formula>COUNTIF($G2240, "FALSE") = 1</formula>
    </cfRule>
  </conditionalFormatting>
  <conditionalFormatting sqref="A2243:G2243">
    <cfRule type="expression" dxfId="0" priority="1495">
      <formula>COUNTIF($G2243, "TRUE") = 1</formula>
    </cfRule>
    <cfRule type="expression" dxfId="1" priority="1496">
      <formula>COUNTIF($G2243, "FALSE") = 1</formula>
    </cfRule>
  </conditionalFormatting>
  <conditionalFormatting sqref="A2246:G2246">
    <cfRule type="expression" dxfId="0" priority="1497">
      <formula>COUNTIF($G2246, "TRUE") = 1</formula>
    </cfRule>
    <cfRule type="expression" dxfId="1" priority="1498">
      <formula>COUNTIF($G2246, "FALSE") = 1</formula>
    </cfRule>
  </conditionalFormatting>
  <conditionalFormatting sqref="A2249:G2249">
    <cfRule type="expression" dxfId="0" priority="1499">
      <formula>COUNTIF($G2249, "TRUE") = 1</formula>
    </cfRule>
    <cfRule type="expression" dxfId="1" priority="1500">
      <formula>COUNTIF($G2249, "FALSE") = 1</formula>
    </cfRule>
  </conditionalFormatting>
  <conditionalFormatting sqref="A224:G224">
    <cfRule type="expression" dxfId="0" priority="149">
      <formula>COUNTIF($G224, "TRUE") = 1</formula>
    </cfRule>
    <cfRule type="expression" dxfId="1" priority="150">
      <formula>COUNTIF($G224, "FALSE") = 1</formula>
    </cfRule>
  </conditionalFormatting>
  <conditionalFormatting sqref="A2252:G2252">
    <cfRule type="expression" dxfId="0" priority="1501">
      <formula>COUNTIF($G2252, "TRUE") = 1</formula>
    </cfRule>
    <cfRule type="expression" dxfId="1" priority="1502">
      <formula>COUNTIF($G2252, "FALSE") = 1</formula>
    </cfRule>
  </conditionalFormatting>
  <conditionalFormatting sqref="A2255:G2255">
    <cfRule type="expression" dxfId="0" priority="1503">
      <formula>COUNTIF($G2255, "TRUE") = 1</formula>
    </cfRule>
    <cfRule type="expression" dxfId="1" priority="1504">
      <formula>COUNTIF($G2255, "FALSE") = 1</formula>
    </cfRule>
  </conditionalFormatting>
  <conditionalFormatting sqref="A2258:G2258">
    <cfRule type="expression" dxfId="0" priority="1505">
      <formula>COUNTIF($G2258, "TRUE") = 1</formula>
    </cfRule>
    <cfRule type="expression" dxfId="1" priority="1506">
      <formula>COUNTIF($G2258, "FALSE") = 1</formula>
    </cfRule>
  </conditionalFormatting>
  <conditionalFormatting sqref="A2261:G2261">
    <cfRule type="expression" dxfId="0" priority="1507">
      <formula>COUNTIF($G2261, "TRUE") = 1</formula>
    </cfRule>
    <cfRule type="expression" dxfId="1" priority="1508">
      <formula>COUNTIF($G2261, "FALSE") = 1</formula>
    </cfRule>
  </conditionalFormatting>
  <conditionalFormatting sqref="A2264:G2264">
    <cfRule type="expression" dxfId="0" priority="1509">
      <formula>COUNTIF($G2264, "TRUE") = 1</formula>
    </cfRule>
    <cfRule type="expression" dxfId="1" priority="1510">
      <formula>COUNTIF($G2264, "FALSE") = 1</formula>
    </cfRule>
  </conditionalFormatting>
  <conditionalFormatting sqref="A2267:G2267">
    <cfRule type="expression" dxfId="0" priority="1511">
      <formula>COUNTIF($G2267, "TRUE") = 1</formula>
    </cfRule>
    <cfRule type="expression" dxfId="1" priority="1512">
      <formula>COUNTIF($G2267, "FALSE") = 1</formula>
    </cfRule>
  </conditionalFormatting>
  <conditionalFormatting sqref="A2270:G2270">
    <cfRule type="expression" dxfId="0" priority="1513">
      <formula>COUNTIF($G2270, "TRUE") = 1</formula>
    </cfRule>
    <cfRule type="expression" dxfId="1" priority="1514">
      <formula>COUNTIF($G2270, "FALSE") = 1</formula>
    </cfRule>
  </conditionalFormatting>
  <conditionalFormatting sqref="A2273:G2273">
    <cfRule type="expression" dxfId="0" priority="1515">
      <formula>COUNTIF($G2273, "TRUE") = 1</formula>
    </cfRule>
    <cfRule type="expression" dxfId="1" priority="1516">
      <formula>COUNTIF($G2273, "FALSE") = 1</formula>
    </cfRule>
  </conditionalFormatting>
  <conditionalFormatting sqref="A2276:G2276">
    <cfRule type="expression" dxfId="0" priority="1517">
      <formula>COUNTIF($G2276, "TRUE") = 1</formula>
    </cfRule>
    <cfRule type="expression" dxfId="1" priority="1518">
      <formula>COUNTIF($G2276, "FALSE") = 1</formula>
    </cfRule>
  </conditionalFormatting>
  <conditionalFormatting sqref="A2279:G2279">
    <cfRule type="expression" dxfId="0" priority="1519">
      <formula>COUNTIF($G2279, "TRUE") = 1</formula>
    </cfRule>
    <cfRule type="expression" dxfId="1" priority="1520">
      <formula>COUNTIF($G2279, "FALSE") = 1</formula>
    </cfRule>
  </conditionalFormatting>
  <conditionalFormatting sqref="A227:G227">
    <cfRule type="expression" dxfId="0" priority="151">
      <formula>COUNTIF($G227, "TRUE") = 1</formula>
    </cfRule>
    <cfRule type="expression" dxfId="1" priority="152">
      <formula>COUNTIF($G227, "FALSE") = 1</formula>
    </cfRule>
  </conditionalFormatting>
  <conditionalFormatting sqref="A2282:G2282">
    <cfRule type="expression" dxfId="0" priority="1521">
      <formula>COUNTIF($G2282, "TRUE") = 1</formula>
    </cfRule>
    <cfRule type="expression" dxfId="1" priority="1522">
      <formula>COUNTIF($G2282, "FALSE") = 1</formula>
    </cfRule>
  </conditionalFormatting>
  <conditionalFormatting sqref="A2285:G2285">
    <cfRule type="expression" dxfId="0" priority="1523">
      <formula>COUNTIF($G2285, "TRUE") = 1</formula>
    </cfRule>
    <cfRule type="expression" dxfId="1" priority="1524">
      <formula>COUNTIF($G2285, "FALSE") = 1</formula>
    </cfRule>
  </conditionalFormatting>
  <conditionalFormatting sqref="A2288:G2288">
    <cfRule type="expression" dxfId="0" priority="1525">
      <formula>COUNTIF($G2288, "TRUE") = 1</formula>
    </cfRule>
    <cfRule type="expression" dxfId="1" priority="1526">
      <formula>COUNTIF($G2288, "FALSE") = 1</formula>
    </cfRule>
  </conditionalFormatting>
  <conditionalFormatting sqref="A2291:G2291">
    <cfRule type="expression" dxfId="0" priority="1527">
      <formula>COUNTIF($G2291, "TRUE") = 1</formula>
    </cfRule>
    <cfRule type="expression" dxfId="1" priority="1528">
      <formula>COUNTIF($G2291, "FALSE") = 1</formula>
    </cfRule>
  </conditionalFormatting>
  <conditionalFormatting sqref="A2294:G2294">
    <cfRule type="expression" dxfId="0" priority="1529">
      <formula>COUNTIF($G2294, "TRUE") = 1</formula>
    </cfRule>
    <cfRule type="expression" dxfId="1" priority="1530">
      <formula>COUNTIF($G2294, "FALSE") = 1</formula>
    </cfRule>
  </conditionalFormatting>
  <conditionalFormatting sqref="A2297:G2297">
    <cfRule type="expression" dxfId="0" priority="1531">
      <formula>COUNTIF($G2297, "TRUE") = 1</formula>
    </cfRule>
    <cfRule type="expression" dxfId="1" priority="1532">
      <formula>COUNTIF($G2297, "FALSE") = 1</formula>
    </cfRule>
  </conditionalFormatting>
  <conditionalFormatting sqref="A2300:G2300">
    <cfRule type="expression" dxfId="0" priority="1533">
      <formula>COUNTIF($G2300, "TRUE") = 1</formula>
    </cfRule>
    <cfRule type="expression" dxfId="1" priority="1534">
      <formula>COUNTIF($G2300, "FALSE") = 1</formula>
    </cfRule>
  </conditionalFormatting>
  <conditionalFormatting sqref="A2303:G2303">
    <cfRule type="expression" dxfId="0" priority="1535">
      <formula>COUNTIF($G2303, "TRUE") = 1</formula>
    </cfRule>
    <cfRule type="expression" dxfId="1" priority="1536">
      <formula>COUNTIF($G2303, "FALSE") = 1</formula>
    </cfRule>
  </conditionalFormatting>
  <conditionalFormatting sqref="A2306:G2306">
    <cfRule type="expression" dxfId="0" priority="1537">
      <formula>COUNTIF($G2306, "TRUE") = 1</formula>
    </cfRule>
    <cfRule type="expression" dxfId="1" priority="1538">
      <formula>COUNTIF($G2306, "FALSE") = 1</formula>
    </cfRule>
  </conditionalFormatting>
  <conditionalFormatting sqref="A2309:G2309">
    <cfRule type="expression" dxfId="0" priority="1539">
      <formula>COUNTIF($G2309, "TRUE") = 1</formula>
    </cfRule>
    <cfRule type="expression" dxfId="1" priority="1540">
      <formula>COUNTIF($G2309, "FALSE") = 1</formula>
    </cfRule>
  </conditionalFormatting>
  <conditionalFormatting sqref="A230:G230">
    <cfRule type="expression" dxfId="0" priority="153">
      <formula>COUNTIF($G230, "TRUE") = 1</formula>
    </cfRule>
    <cfRule type="expression" dxfId="1" priority="154">
      <formula>COUNTIF($G230, "FALSE") = 1</formula>
    </cfRule>
  </conditionalFormatting>
  <conditionalFormatting sqref="A2312:G2312">
    <cfRule type="expression" dxfId="0" priority="1541">
      <formula>COUNTIF($G2312, "TRUE") = 1</formula>
    </cfRule>
    <cfRule type="expression" dxfId="1" priority="1542">
      <formula>COUNTIF($G2312, "FALSE") = 1</formula>
    </cfRule>
  </conditionalFormatting>
  <conditionalFormatting sqref="A2315:G2315">
    <cfRule type="expression" dxfId="0" priority="1543">
      <formula>COUNTIF($G2315, "TRUE") = 1</formula>
    </cfRule>
    <cfRule type="expression" dxfId="1" priority="1544">
      <formula>COUNTIF($G2315, "FALSE") = 1</formula>
    </cfRule>
  </conditionalFormatting>
  <conditionalFormatting sqref="A2318:G2318">
    <cfRule type="expression" dxfId="0" priority="1545">
      <formula>COUNTIF($G2318, "TRUE") = 1</formula>
    </cfRule>
    <cfRule type="expression" dxfId="1" priority="1546">
      <formula>COUNTIF($G2318, "FALSE") = 1</formula>
    </cfRule>
  </conditionalFormatting>
  <conditionalFormatting sqref="A2321:G2321">
    <cfRule type="expression" dxfId="0" priority="1547">
      <formula>COUNTIF($G2321, "TRUE") = 1</formula>
    </cfRule>
    <cfRule type="expression" dxfId="1" priority="1548">
      <formula>COUNTIF($G2321, "FALSE") = 1</formula>
    </cfRule>
  </conditionalFormatting>
  <conditionalFormatting sqref="A2324:G2324">
    <cfRule type="expression" dxfId="0" priority="1549">
      <formula>COUNTIF($G2324, "TRUE") = 1</formula>
    </cfRule>
    <cfRule type="expression" dxfId="1" priority="1550">
      <formula>COUNTIF($G2324, "FALSE") = 1</formula>
    </cfRule>
  </conditionalFormatting>
  <conditionalFormatting sqref="A2327:G2327">
    <cfRule type="expression" dxfId="0" priority="1551">
      <formula>COUNTIF($G2327, "TRUE") = 1</formula>
    </cfRule>
    <cfRule type="expression" dxfId="1" priority="1552">
      <formula>COUNTIF($G2327, "FALSE") = 1</formula>
    </cfRule>
  </conditionalFormatting>
  <conditionalFormatting sqref="A2330:G2330">
    <cfRule type="expression" dxfId="0" priority="1553">
      <formula>COUNTIF($G2330, "TRUE") = 1</formula>
    </cfRule>
    <cfRule type="expression" dxfId="1" priority="1554">
      <formula>COUNTIF($G2330, "FALSE") = 1</formula>
    </cfRule>
  </conditionalFormatting>
  <conditionalFormatting sqref="A2333:G2333">
    <cfRule type="expression" dxfId="0" priority="1555">
      <formula>COUNTIF($G2333, "TRUE") = 1</formula>
    </cfRule>
    <cfRule type="expression" dxfId="1" priority="1556">
      <formula>COUNTIF($G2333, "FALSE") = 1</formula>
    </cfRule>
  </conditionalFormatting>
  <conditionalFormatting sqref="A2336:G2336">
    <cfRule type="expression" dxfId="0" priority="1557">
      <formula>COUNTIF($G2336, "TRUE") = 1</formula>
    </cfRule>
    <cfRule type="expression" dxfId="1" priority="1558">
      <formula>COUNTIF($G2336, "FALSE") = 1</formula>
    </cfRule>
  </conditionalFormatting>
  <conditionalFormatting sqref="A2339:G2339">
    <cfRule type="expression" dxfId="0" priority="1559">
      <formula>COUNTIF($G2339, "TRUE") = 1</formula>
    </cfRule>
    <cfRule type="expression" dxfId="1" priority="1560">
      <formula>COUNTIF($G2339, "FALSE") = 1</formula>
    </cfRule>
  </conditionalFormatting>
  <conditionalFormatting sqref="A233:G233">
    <cfRule type="expression" dxfId="0" priority="155">
      <formula>COUNTIF($G233, "TRUE") = 1</formula>
    </cfRule>
    <cfRule type="expression" dxfId="1" priority="156">
      <formula>COUNTIF($G233, "FALSE") = 1</formula>
    </cfRule>
  </conditionalFormatting>
  <conditionalFormatting sqref="A2342:G2342">
    <cfRule type="expression" dxfId="0" priority="1561">
      <formula>COUNTIF($G2342, "TRUE") = 1</formula>
    </cfRule>
    <cfRule type="expression" dxfId="1" priority="1562">
      <formula>COUNTIF($G2342, "FALSE") = 1</formula>
    </cfRule>
  </conditionalFormatting>
  <conditionalFormatting sqref="A2345:G2345">
    <cfRule type="expression" dxfId="0" priority="1563">
      <formula>COUNTIF($G2345, "TRUE") = 1</formula>
    </cfRule>
    <cfRule type="expression" dxfId="1" priority="1564">
      <formula>COUNTIF($G2345, "FALSE") = 1</formula>
    </cfRule>
  </conditionalFormatting>
  <conditionalFormatting sqref="A2348:G2348">
    <cfRule type="expression" dxfId="0" priority="1565">
      <formula>COUNTIF($G2348, "TRUE") = 1</formula>
    </cfRule>
    <cfRule type="expression" dxfId="1" priority="1566">
      <formula>COUNTIF($G2348, "FALSE") = 1</formula>
    </cfRule>
  </conditionalFormatting>
  <conditionalFormatting sqref="A2351:G2351">
    <cfRule type="expression" dxfId="0" priority="1567">
      <formula>COUNTIF($G2351, "TRUE") = 1</formula>
    </cfRule>
    <cfRule type="expression" dxfId="1" priority="1568">
      <formula>COUNTIF($G2351, "FALSE") = 1</formula>
    </cfRule>
  </conditionalFormatting>
  <conditionalFormatting sqref="A2354:G2354">
    <cfRule type="expression" dxfId="0" priority="1569">
      <formula>COUNTIF($G2354, "TRUE") = 1</formula>
    </cfRule>
    <cfRule type="expression" dxfId="1" priority="1570">
      <formula>COUNTIF($G2354, "FALSE") = 1</formula>
    </cfRule>
  </conditionalFormatting>
  <conditionalFormatting sqref="A2357:G2357">
    <cfRule type="expression" dxfId="0" priority="1571">
      <formula>COUNTIF($G2357, "TRUE") = 1</formula>
    </cfRule>
    <cfRule type="expression" dxfId="1" priority="1572">
      <formula>COUNTIF($G2357, "FALSE") = 1</formula>
    </cfRule>
  </conditionalFormatting>
  <conditionalFormatting sqref="A2360:G2360">
    <cfRule type="expression" dxfId="0" priority="1573">
      <formula>COUNTIF($G2360, "TRUE") = 1</formula>
    </cfRule>
    <cfRule type="expression" dxfId="1" priority="1574">
      <formula>COUNTIF($G2360, "FALSE") = 1</formula>
    </cfRule>
  </conditionalFormatting>
  <conditionalFormatting sqref="A2363:G2363">
    <cfRule type="expression" dxfId="0" priority="1575">
      <formula>COUNTIF($G2363, "TRUE") = 1</formula>
    </cfRule>
    <cfRule type="expression" dxfId="1" priority="1576">
      <formula>COUNTIF($G2363, "FALSE") = 1</formula>
    </cfRule>
  </conditionalFormatting>
  <conditionalFormatting sqref="A2366:G2366">
    <cfRule type="expression" dxfId="0" priority="1577">
      <formula>COUNTIF($G2366, "TRUE") = 1</formula>
    </cfRule>
    <cfRule type="expression" dxfId="1" priority="1578">
      <formula>COUNTIF($G2366, "FALSE") = 1</formula>
    </cfRule>
  </conditionalFormatting>
  <conditionalFormatting sqref="A2369:G2369">
    <cfRule type="expression" dxfId="0" priority="1579">
      <formula>COUNTIF($G2369, "TRUE") = 1</formula>
    </cfRule>
    <cfRule type="expression" dxfId="1" priority="1580">
      <formula>COUNTIF($G2369, "FALSE") = 1</formula>
    </cfRule>
  </conditionalFormatting>
  <conditionalFormatting sqref="A236:G236">
    <cfRule type="expression" dxfId="0" priority="157">
      <formula>COUNTIF($G236, "TRUE") = 1</formula>
    </cfRule>
    <cfRule type="expression" dxfId="1" priority="158">
      <formula>COUNTIF($G236, "FALSE") = 1</formula>
    </cfRule>
  </conditionalFormatting>
  <conditionalFormatting sqref="A2372:G2372">
    <cfRule type="expression" dxfId="0" priority="1581">
      <formula>COUNTIF($G2372, "TRUE") = 1</formula>
    </cfRule>
    <cfRule type="expression" dxfId="1" priority="1582">
      <formula>COUNTIF($G2372, "FALSE") = 1</formula>
    </cfRule>
  </conditionalFormatting>
  <conditionalFormatting sqref="A2375:G2375">
    <cfRule type="expression" dxfId="0" priority="1583">
      <formula>COUNTIF($G2375, "TRUE") = 1</formula>
    </cfRule>
    <cfRule type="expression" dxfId="1" priority="1584">
      <formula>COUNTIF($G2375, "FALSE") = 1</formula>
    </cfRule>
  </conditionalFormatting>
  <conditionalFormatting sqref="A2378:G2378">
    <cfRule type="expression" dxfId="0" priority="1585">
      <formula>COUNTIF($G2378, "TRUE") = 1</formula>
    </cfRule>
    <cfRule type="expression" dxfId="1" priority="1586">
      <formula>COUNTIF($G2378, "FALSE") = 1</formula>
    </cfRule>
  </conditionalFormatting>
  <conditionalFormatting sqref="A2381:G2381">
    <cfRule type="expression" dxfId="0" priority="1587">
      <formula>COUNTIF($G2381, "TRUE") = 1</formula>
    </cfRule>
    <cfRule type="expression" dxfId="1" priority="1588">
      <formula>COUNTIF($G2381, "FALSE") = 1</formula>
    </cfRule>
  </conditionalFormatting>
  <conditionalFormatting sqref="A2384:G2384">
    <cfRule type="expression" dxfId="0" priority="1589">
      <formula>COUNTIF($G2384, "TRUE") = 1</formula>
    </cfRule>
    <cfRule type="expression" dxfId="1" priority="1590">
      <formula>COUNTIF($G2384, "FALSE") = 1</formula>
    </cfRule>
  </conditionalFormatting>
  <conditionalFormatting sqref="A2387:G2387">
    <cfRule type="expression" dxfId="0" priority="1591">
      <formula>COUNTIF($G2387, "TRUE") = 1</formula>
    </cfRule>
    <cfRule type="expression" dxfId="1" priority="1592">
      <formula>COUNTIF($G2387, "FALSE") = 1</formula>
    </cfRule>
  </conditionalFormatting>
  <conditionalFormatting sqref="A2390:G2390">
    <cfRule type="expression" dxfId="0" priority="1593">
      <formula>COUNTIF($G2390, "TRUE") = 1</formula>
    </cfRule>
    <cfRule type="expression" dxfId="1" priority="1594">
      <formula>COUNTIF($G2390, "FALSE") = 1</formula>
    </cfRule>
  </conditionalFormatting>
  <conditionalFormatting sqref="A2393:G2393">
    <cfRule type="expression" dxfId="0" priority="1595">
      <formula>COUNTIF($G2393, "TRUE") = 1</formula>
    </cfRule>
    <cfRule type="expression" dxfId="1" priority="1596">
      <formula>COUNTIF($G2393, "FALSE") = 1</formula>
    </cfRule>
  </conditionalFormatting>
  <conditionalFormatting sqref="A2396:G2396">
    <cfRule type="expression" dxfId="0" priority="1597">
      <formula>COUNTIF($G2396, "TRUE") = 1</formula>
    </cfRule>
    <cfRule type="expression" dxfId="1" priority="1598">
      <formula>COUNTIF($G2396, "FALSE") = 1</formula>
    </cfRule>
  </conditionalFormatting>
  <conditionalFormatting sqref="A2399:G2399">
    <cfRule type="expression" dxfId="0" priority="1599">
      <formula>COUNTIF($G2399, "TRUE") = 1</formula>
    </cfRule>
    <cfRule type="expression" dxfId="1" priority="1600">
      <formula>COUNTIF($G2399, "FALSE") = 1</formula>
    </cfRule>
  </conditionalFormatting>
  <conditionalFormatting sqref="A239:G239">
    <cfRule type="expression" dxfId="0" priority="159">
      <formula>COUNTIF($G239, "TRUE") = 1</formula>
    </cfRule>
    <cfRule type="expression" dxfId="1" priority="160">
      <formula>COUNTIF($G239, "FALSE") = 1</formula>
    </cfRule>
  </conditionalFormatting>
  <conditionalFormatting sqref="A23:G23">
    <cfRule type="expression" dxfId="0" priority="15">
      <formula>COUNTIF($G23, "TRUE") = 1</formula>
    </cfRule>
    <cfRule type="expression" dxfId="1" priority="16">
      <formula>COUNTIF($G23, "FALSE") = 1</formula>
    </cfRule>
  </conditionalFormatting>
  <conditionalFormatting sqref="A2402:G2402">
    <cfRule type="expression" dxfId="0" priority="1601">
      <formula>COUNTIF($G2402, "TRUE") = 1</formula>
    </cfRule>
    <cfRule type="expression" dxfId="1" priority="1602">
      <formula>COUNTIF($G2402, "FALSE") = 1</formula>
    </cfRule>
  </conditionalFormatting>
  <conditionalFormatting sqref="A2405:G2405">
    <cfRule type="expression" dxfId="0" priority="1603">
      <formula>COUNTIF($G2405, "TRUE") = 1</formula>
    </cfRule>
    <cfRule type="expression" dxfId="1" priority="1604">
      <formula>COUNTIF($G2405, "FALSE") = 1</formula>
    </cfRule>
  </conditionalFormatting>
  <conditionalFormatting sqref="A2408:G2408">
    <cfRule type="expression" dxfId="0" priority="1605">
      <formula>COUNTIF($G2408, "TRUE") = 1</formula>
    </cfRule>
    <cfRule type="expression" dxfId="1" priority="1606">
      <formula>COUNTIF($G2408, "FALSE") = 1</formula>
    </cfRule>
  </conditionalFormatting>
  <conditionalFormatting sqref="A2411:G2411">
    <cfRule type="expression" dxfId="0" priority="1607">
      <formula>COUNTIF($G2411, "TRUE") = 1</formula>
    </cfRule>
    <cfRule type="expression" dxfId="1" priority="1608">
      <formula>COUNTIF($G2411, "FALSE") = 1</formula>
    </cfRule>
  </conditionalFormatting>
  <conditionalFormatting sqref="A2414:G2414">
    <cfRule type="expression" dxfId="0" priority="1609">
      <formula>COUNTIF($G2414, "TRUE") = 1</formula>
    </cfRule>
    <cfRule type="expression" dxfId="1" priority="1610">
      <formula>COUNTIF($G2414, "FALSE") = 1</formula>
    </cfRule>
  </conditionalFormatting>
  <conditionalFormatting sqref="A2417:G2417">
    <cfRule type="expression" dxfId="0" priority="1611">
      <formula>COUNTIF($G2417, "TRUE") = 1</formula>
    </cfRule>
    <cfRule type="expression" dxfId="1" priority="1612">
      <formula>COUNTIF($G2417, "FALSE") = 1</formula>
    </cfRule>
  </conditionalFormatting>
  <conditionalFormatting sqref="A2420:G2420">
    <cfRule type="expression" dxfId="0" priority="1613">
      <formula>COUNTIF($G2420, "TRUE") = 1</formula>
    </cfRule>
    <cfRule type="expression" dxfId="1" priority="1614">
      <formula>COUNTIF($G2420, "FALSE") = 1</formula>
    </cfRule>
  </conditionalFormatting>
  <conditionalFormatting sqref="A2423:G2423">
    <cfRule type="expression" dxfId="0" priority="1615">
      <formula>COUNTIF($G2423, "TRUE") = 1</formula>
    </cfRule>
    <cfRule type="expression" dxfId="1" priority="1616">
      <formula>COUNTIF($G2423, "FALSE") = 1</formula>
    </cfRule>
  </conditionalFormatting>
  <conditionalFormatting sqref="A2426:G2426">
    <cfRule type="expression" dxfId="0" priority="1617">
      <formula>COUNTIF($G2426, "TRUE") = 1</formula>
    </cfRule>
    <cfRule type="expression" dxfId="1" priority="1618">
      <formula>COUNTIF($G2426, "FALSE") = 1</formula>
    </cfRule>
  </conditionalFormatting>
  <conditionalFormatting sqref="A2429:G2429">
    <cfRule type="expression" dxfId="0" priority="1619">
      <formula>COUNTIF($G2429, "TRUE") = 1</formula>
    </cfRule>
    <cfRule type="expression" dxfId="1" priority="1620">
      <formula>COUNTIF($G2429, "FALSE") = 1</formula>
    </cfRule>
  </conditionalFormatting>
  <conditionalFormatting sqref="A242:G242">
    <cfRule type="expression" dxfId="0" priority="161">
      <formula>COUNTIF($G242, "TRUE") = 1</formula>
    </cfRule>
    <cfRule type="expression" dxfId="1" priority="162">
      <formula>COUNTIF($G242, "FALSE") = 1</formula>
    </cfRule>
  </conditionalFormatting>
  <conditionalFormatting sqref="A2432:G2432">
    <cfRule type="expression" dxfId="0" priority="1621">
      <formula>COUNTIF($G2432, "TRUE") = 1</formula>
    </cfRule>
    <cfRule type="expression" dxfId="1" priority="1622">
      <formula>COUNTIF($G2432, "FALSE") = 1</formula>
    </cfRule>
  </conditionalFormatting>
  <conditionalFormatting sqref="A2435:G2435">
    <cfRule type="expression" dxfId="0" priority="1623">
      <formula>COUNTIF($G2435, "TRUE") = 1</formula>
    </cfRule>
    <cfRule type="expression" dxfId="1" priority="1624">
      <formula>COUNTIF($G2435, "FALSE") = 1</formula>
    </cfRule>
  </conditionalFormatting>
  <conditionalFormatting sqref="A2438:G2438">
    <cfRule type="expression" dxfId="0" priority="1625">
      <formula>COUNTIF($G2438, "TRUE") = 1</formula>
    </cfRule>
    <cfRule type="expression" dxfId="1" priority="1626">
      <formula>COUNTIF($G2438, "FALSE") = 1</formula>
    </cfRule>
  </conditionalFormatting>
  <conditionalFormatting sqref="A2441:G2441">
    <cfRule type="expression" dxfId="0" priority="1627">
      <formula>COUNTIF($G2441, "TRUE") = 1</formula>
    </cfRule>
    <cfRule type="expression" dxfId="1" priority="1628">
      <formula>COUNTIF($G2441, "FALSE") = 1</formula>
    </cfRule>
  </conditionalFormatting>
  <conditionalFormatting sqref="A2444:G2444">
    <cfRule type="expression" dxfId="0" priority="1629">
      <formula>COUNTIF($G2444, "TRUE") = 1</formula>
    </cfRule>
    <cfRule type="expression" dxfId="1" priority="1630">
      <formula>COUNTIF($G2444, "FALSE") = 1</formula>
    </cfRule>
  </conditionalFormatting>
  <conditionalFormatting sqref="A2447:G2447">
    <cfRule type="expression" dxfId="0" priority="1631">
      <formula>COUNTIF($G2447, "TRUE") = 1</formula>
    </cfRule>
    <cfRule type="expression" dxfId="1" priority="1632">
      <formula>COUNTIF($G2447, "FALSE") = 1</formula>
    </cfRule>
  </conditionalFormatting>
  <conditionalFormatting sqref="A2450:G2450">
    <cfRule type="expression" dxfId="0" priority="1633">
      <formula>COUNTIF($G2450, "TRUE") = 1</formula>
    </cfRule>
    <cfRule type="expression" dxfId="1" priority="1634">
      <formula>COUNTIF($G2450, "FALSE") = 1</formula>
    </cfRule>
  </conditionalFormatting>
  <conditionalFormatting sqref="A2453:G2453">
    <cfRule type="expression" dxfId="0" priority="1635">
      <formula>COUNTIF($G2453, "TRUE") = 1</formula>
    </cfRule>
    <cfRule type="expression" dxfId="1" priority="1636">
      <formula>COUNTIF($G2453, "FALSE") = 1</formula>
    </cfRule>
  </conditionalFormatting>
  <conditionalFormatting sqref="A2456:G2456">
    <cfRule type="expression" dxfId="0" priority="1637">
      <formula>COUNTIF($G2456, "TRUE") = 1</formula>
    </cfRule>
    <cfRule type="expression" dxfId="1" priority="1638">
      <formula>COUNTIF($G2456, "FALSE") = 1</formula>
    </cfRule>
  </conditionalFormatting>
  <conditionalFormatting sqref="A2459:G2459">
    <cfRule type="expression" dxfId="0" priority="1639">
      <formula>COUNTIF($G2459, "TRUE") = 1</formula>
    </cfRule>
    <cfRule type="expression" dxfId="1" priority="1640">
      <formula>COUNTIF($G2459, "FALSE") = 1</formula>
    </cfRule>
  </conditionalFormatting>
  <conditionalFormatting sqref="A245:G245">
    <cfRule type="expression" dxfId="0" priority="163">
      <formula>COUNTIF($G245, "TRUE") = 1</formula>
    </cfRule>
    <cfRule type="expression" dxfId="1" priority="164">
      <formula>COUNTIF($G245, "FALSE") = 1</formula>
    </cfRule>
  </conditionalFormatting>
  <conditionalFormatting sqref="A2462:G2462">
    <cfRule type="expression" dxfId="0" priority="1641">
      <formula>COUNTIF($G2462, "TRUE") = 1</formula>
    </cfRule>
    <cfRule type="expression" dxfId="1" priority="1642">
      <formula>COUNTIF($G2462, "FALSE") = 1</formula>
    </cfRule>
  </conditionalFormatting>
  <conditionalFormatting sqref="A2465:G2465">
    <cfRule type="expression" dxfId="0" priority="1643">
      <formula>COUNTIF($G2465, "TRUE") = 1</formula>
    </cfRule>
    <cfRule type="expression" dxfId="1" priority="1644">
      <formula>COUNTIF($G2465, "FALSE") = 1</formula>
    </cfRule>
  </conditionalFormatting>
  <conditionalFormatting sqref="A2468:G2468">
    <cfRule type="expression" dxfId="0" priority="1645">
      <formula>COUNTIF($G2468, "TRUE") = 1</formula>
    </cfRule>
    <cfRule type="expression" dxfId="1" priority="1646">
      <formula>COUNTIF($G2468, "FALSE") = 1</formula>
    </cfRule>
  </conditionalFormatting>
  <conditionalFormatting sqref="A2471:G2471">
    <cfRule type="expression" dxfId="0" priority="1647">
      <formula>COUNTIF($G2471, "TRUE") = 1</formula>
    </cfRule>
    <cfRule type="expression" dxfId="1" priority="1648">
      <formula>COUNTIF($G2471, "FALSE") = 1</formula>
    </cfRule>
  </conditionalFormatting>
  <conditionalFormatting sqref="A2474:G2474">
    <cfRule type="expression" dxfId="0" priority="1649">
      <formula>COUNTIF($G2474, "TRUE") = 1</formula>
    </cfRule>
    <cfRule type="expression" dxfId="1" priority="1650">
      <formula>COUNTIF($G2474, "FALSE") = 1</formula>
    </cfRule>
  </conditionalFormatting>
  <conditionalFormatting sqref="A2477:G2477">
    <cfRule type="expression" dxfId="0" priority="1651">
      <formula>COUNTIF($G2477, "TRUE") = 1</formula>
    </cfRule>
    <cfRule type="expression" dxfId="1" priority="1652">
      <formula>COUNTIF($G2477, "FALSE") = 1</formula>
    </cfRule>
  </conditionalFormatting>
  <conditionalFormatting sqref="A2480:G2480">
    <cfRule type="expression" dxfId="0" priority="1653">
      <formula>COUNTIF($G2480, "TRUE") = 1</formula>
    </cfRule>
    <cfRule type="expression" dxfId="1" priority="1654">
      <formula>COUNTIF($G2480, "FALSE") = 1</formula>
    </cfRule>
  </conditionalFormatting>
  <conditionalFormatting sqref="A2483:G2483">
    <cfRule type="expression" dxfId="0" priority="1655">
      <formula>COUNTIF($G2483, "TRUE") = 1</formula>
    </cfRule>
    <cfRule type="expression" dxfId="1" priority="1656">
      <formula>COUNTIF($G2483, "FALSE") = 1</formula>
    </cfRule>
  </conditionalFormatting>
  <conditionalFormatting sqref="A2486:G2486">
    <cfRule type="expression" dxfId="0" priority="1657">
      <formula>COUNTIF($G2486, "TRUE") = 1</formula>
    </cfRule>
    <cfRule type="expression" dxfId="1" priority="1658">
      <formula>COUNTIF($G2486, "FALSE") = 1</formula>
    </cfRule>
  </conditionalFormatting>
  <conditionalFormatting sqref="A2489:G2489">
    <cfRule type="expression" dxfId="0" priority="1659">
      <formula>COUNTIF($G2489, "TRUE") = 1</formula>
    </cfRule>
    <cfRule type="expression" dxfId="1" priority="1660">
      <formula>COUNTIF($G2489, "FALSE") = 1</formula>
    </cfRule>
  </conditionalFormatting>
  <conditionalFormatting sqref="A248:G248">
    <cfRule type="expression" dxfId="0" priority="165">
      <formula>COUNTIF($G248, "TRUE") = 1</formula>
    </cfRule>
    <cfRule type="expression" dxfId="1" priority="166">
      <formula>COUNTIF($G248, "FALSE") = 1</formula>
    </cfRule>
  </conditionalFormatting>
  <conditionalFormatting sqref="A2492:G2492">
    <cfRule type="expression" dxfId="0" priority="1661">
      <formula>COUNTIF($G2492, "TRUE") = 1</formula>
    </cfRule>
    <cfRule type="expression" dxfId="1" priority="1662">
      <formula>COUNTIF($G2492, "FALSE") = 1</formula>
    </cfRule>
  </conditionalFormatting>
  <conditionalFormatting sqref="A2495:G2495">
    <cfRule type="expression" dxfId="0" priority="1663">
      <formula>COUNTIF($G2495, "TRUE") = 1</formula>
    </cfRule>
    <cfRule type="expression" dxfId="1" priority="1664">
      <formula>COUNTIF($G2495, "FALSE") = 1</formula>
    </cfRule>
  </conditionalFormatting>
  <conditionalFormatting sqref="A2498:G2498">
    <cfRule type="expression" dxfId="0" priority="1665">
      <formula>COUNTIF($G2498, "TRUE") = 1</formula>
    </cfRule>
    <cfRule type="expression" dxfId="1" priority="1666">
      <formula>COUNTIF($G2498, "FALSE") = 1</formula>
    </cfRule>
  </conditionalFormatting>
  <conditionalFormatting sqref="A2501:G2501">
    <cfRule type="expression" dxfId="0" priority="1667">
      <formula>COUNTIF($G2501, "TRUE") = 1</formula>
    </cfRule>
    <cfRule type="expression" dxfId="1" priority="1668">
      <formula>COUNTIF($G2501, "FALSE") = 1</formula>
    </cfRule>
  </conditionalFormatting>
  <conditionalFormatting sqref="A2504:G2504">
    <cfRule type="expression" dxfId="0" priority="1669">
      <formula>COUNTIF($G2504, "TRUE") = 1</formula>
    </cfRule>
    <cfRule type="expression" dxfId="1" priority="1670">
      <formula>COUNTIF($G2504, "FALSE") = 1</formula>
    </cfRule>
  </conditionalFormatting>
  <conditionalFormatting sqref="A2507:G2507">
    <cfRule type="expression" dxfId="0" priority="1671">
      <formula>COUNTIF($G2507, "TRUE") = 1</formula>
    </cfRule>
    <cfRule type="expression" dxfId="1" priority="1672">
      <formula>COUNTIF($G2507, "FALSE") = 1</formula>
    </cfRule>
  </conditionalFormatting>
  <conditionalFormatting sqref="A2510:G2510">
    <cfRule type="expression" dxfId="0" priority="1673">
      <formula>COUNTIF($G2510, "TRUE") = 1</formula>
    </cfRule>
    <cfRule type="expression" dxfId="1" priority="1674">
      <formula>COUNTIF($G2510, "FALSE") = 1</formula>
    </cfRule>
  </conditionalFormatting>
  <conditionalFormatting sqref="A2513:G2513">
    <cfRule type="expression" dxfId="0" priority="1675">
      <formula>COUNTIF($G2513, "TRUE") = 1</formula>
    </cfRule>
    <cfRule type="expression" dxfId="1" priority="1676">
      <formula>COUNTIF($G2513, "FALSE") = 1</formula>
    </cfRule>
  </conditionalFormatting>
  <conditionalFormatting sqref="A2516:G2516">
    <cfRule type="expression" dxfId="0" priority="1677">
      <formula>COUNTIF($G2516, "TRUE") = 1</formula>
    </cfRule>
    <cfRule type="expression" dxfId="1" priority="1678">
      <formula>COUNTIF($G2516, "FALSE") = 1</formula>
    </cfRule>
  </conditionalFormatting>
  <conditionalFormatting sqref="A2519:G2519">
    <cfRule type="expression" dxfId="0" priority="1679">
      <formula>COUNTIF($G2519, "TRUE") = 1</formula>
    </cfRule>
    <cfRule type="expression" dxfId="1" priority="1680">
      <formula>COUNTIF($G2519, "FALSE") = 1</formula>
    </cfRule>
  </conditionalFormatting>
  <conditionalFormatting sqref="A251:G251">
    <cfRule type="expression" dxfId="0" priority="167">
      <formula>COUNTIF($G251, "TRUE") = 1</formula>
    </cfRule>
    <cfRule type="expression" dxfId="1" priority="168">
      <formula>COUNTIF($G251, "FALSE") = 1</formula>
    </cfRule>
  </conditionalFormatting>
  <conditionalFormatting sqref="A2522:G2522">
    <cfRule type="expression" dxfId="0" priority="1681">
      <formula>COUNTIF($G2522, "TRUE") = 1</formula>
    </cfRule>
    <cfRule type="expression" dxfId="1" priority="1682">
      <formula>COUNTIF($G2522, "FALSE") = 1</formula>
    </cfRule>
  </conditionalFormatting>
  <conditionalFormatting sqref="A2525:G2525">
    <cfRule type="expression" dxfId="0" priority="1683">
      <formula>COUNTIF($G2525, "TRUE") = 1</formula>
    </cfRule>
    <cfRule type="expression" dxfId="1" priority="1684">
      <formula>COUNTIF($G2525, "FALSE") = 1</formula>
    </cfRule>
  </conditionalFormatting>
  <conditionalFormatting sqref="A2528:G2528">
    <cfRule type="expression" dxfId="0" priority="1685">
      <formula>COUNTIF($G2528, "TRUE") = 1</formula>
    </cfRule>
    <cfRule type="expression" dxfId="1" priority="1686">
      <formula>COUNTIF($G2528, "FALSE") = 1</formula>
    </cfRule>
  </conditionalFormatting>
  <conditionalFormatting sqref="A2531:G2531">
    <cfRule type="expression" dxfId="0" priority="1687">
      <formula>COUNTIF($G2531, "TRUE") = 1</formula>
    </cfRule>
    <cfRule type="expression" dxfId="1" priority="1688">
      <formula>COUNTIF($G2531, "FALSE") = 1</formula>
    </cfRule>
  </conditionalFormatting>
  <conditionalFormatting sqref="A2534:G2534">
    <cfRule type="expression" dxfId="0" priority="1689">
      <formula>COUNTIF($G2534, "TRUE") = 1</formula>
    </cfRule>
    <cfRule type="expression" dxfId="1" priority="1690">
      <formula>COUNTIF($G2534, "FALSE") = 1</formula>
    </cfRule>
  </conditionalFormatting>
  <conditionalFormatting sqref="A2537:G2537">
    <cfRule type="expression" dxfId="0" priority="1691">
      <formula>COUNTIF($G2537, "TRUE") = 1</formula>
    </cfRule>
    <cfRule type="expression" dxfId="1" priority="1692">
      <formula>COUNTIF($G2537, "FALSE") = 1</formula>
    </cfRule>
  </conditionalFormatting>
  <conditionalFormatting sqref="A2540:G2540">
    <cfRule type="expression" dxfId="0" priority="1693">
      <formula>COUNTIF($G2540, "TRUE") = 1</formula>
    </cfRule>
    <cfRule type="expression" dxfId="1" priority="1694">
      <formula>COUNTIF($G2540, "FALSE") = 1</formula>
    </cfRule>
  </conditionalFormatting>
  <conditionalFormatting sqref="A2543:G2543">
    <cfRule type="expression" dxfId="0" priority="1695">
      <formula>COUNTIF($G2543, "TRUE") = 1</formula>
    </cfRule>
    <cfRule type="expression" dxfId="1" priority="1696">
      <formula>COUNTIF($G2543, "FALSE") = 1</formula>
    </cfRule>
  </conditionalFormatting>
  <conditionalFormatting sqref="A2546:G2546">
    <cfRule type="expression" dxfId="0" priority="1697">
      <formula>COUNTIF($G2546, "TRUE") = 1</formula>
    </cfRule>
    <cfRule type="expression" dxfId="1" priority="1698">
      <formula>COUNTIF($G2546, "FALSE") = 1</formula>
    </cfRule>
  </conditionalFormatting>
  <conditionalFormatting sqref="A2549:G2549">
    <cfRule type="expression" dxfId="0" priority="1699">
      <formula>COUNTIF($G2549, "TRUE") = 1</formula>
    </cfRule>
    <cfRule type="expression" dxfId="1" priority="1700">
      <formula>COUNTIF($G2549, "FALSE") = 1</formula>
    </cfRule>
  </conditionalFormatting>
  <conditionalFormatting sqref="A254:G254">
    <cfRule type="expression" dxfId="0" priority="169">
      <formula>COUNTIF($G254, "TRUE") = 1</formula>
    </cfRule>
    <cfRule type="expression" dxfId="1" priority="170">
      <formula>COUNTIF($G254, "FALSE") = 1</formula>
    </cfRule>
  </conditionalFormatting>
  <conditionalFormatting sqref="A2552:G2552">
    <cfRule type="expression" dxfId="0" priority="1701">
      <formula>COUNTIF($G2552, "TRUE") = 1</formula>
    </cfRule>
    <cfRule type="expression" dxfId="1" priority="1702">
      <formula>COUNTIF($G2552, "FALSE") = 1</formula>
    </cfRule>
  </conditionalFormatting>
  <conditionalFormatting sqref="A2555:G2555">
    <cfRule type="expression" dxfId="0" priority="1703">
      <formula>COUNTIF($G2555, "TRUE") = 1</formula>
    </cfRule>
    <cfRule type="expression" dxfId="1" priority="1704">
      <formula>COUNTIF($G2555, "FALSE") = 1</formula>
    </cfRule>
  </conditionalFormatting>
  <conditionalFormatting sqref="A2558:G2558">
    <cfRule type="expression" dxfId="0" priority="1705">
      <formula>COUNTIF($G2558, "TRUE") = 1</formula>
    </cfRule>
    <cfRule type="expression" dxfId="1" priority="1706">
      <formula>COUNTIF($G2558, "FALSE") = 1</formula>
    </cfRule>
  </conditionalFormatting>
  <conditionalFormatting sqref="A2561:G2561">
    <cfRule type="expression" dxfId="0" priority="1707">
      <formula>COUNTIF($G2561, "TRUE") = 1</formula>
    </cfRule>
    <cfRule type="expression" dxfId="1" priority="1708">
      <formula>COUNTIF($G2561, "FALSE") = 1</formula>
    </cfRule>
  </conditionalFormatting>
  <conditionalFormatting sqref="A2564:G2564">
    <cfRule type="expression" dxfId="0" priority="1709">
      <formula>COUNTIF($G2564, "TRUE") = 1</formula>
    </cfRule>
    <cfRule type="expression" dxfId="1" priority="1710">
      <formula>COUNTIF($G2564, "FALSE") = 1</formula>
    </cfRule>
  </conditionalFormatting>
  <conditionalFormatting sqref="A2567:G2567">
    <cfRule type="expression" dxfId="0" priority="1711">
      <formula>COUNTIF($G2567, "TRUE") = 1</formula>
    </cfRule>
    <cfRule type="expression" dxfId="1" priority="1712">
      <formula>COUNTIF($G2567, "FALSE") = 1</formula>
    </cfRule>
  </conditionalFormatting>
  <conditionalFormatting sqref="A2570:G2570">
    <cfRule type="expression" dxfId="0" priority="1713">
      <formula>COUNTIF($G2570, "TRUE") = 1</formula>
    </cfRule>
    <cfRule type="expression" dxfId="1" priority="1714">
      <formula>COUNTIF($G2570, "FALSE") = 1</formula>
    </cfRule>
  </conditionalFormatting>
  <conditionalFormatting sqref="A2573:G2573">
    <cfRule type="expression" dxfId="0" priority="1715">
      <formula>COUNTIF($G2573, "TRUE") = 1</formula>
    </cfRule>
    <cfRule type="expression" dxfId="1" priority="1716">
      <formula>COUNTIF($G2573, "FALSE") = 1</formula>
    </cfRule>
  </conditionalFormatting>
  <conditionalFormatting sqref="A2576:G2576">
    <cfRule type="expression" dxfId="0" priority="1717">
      <formula>COUNTIF($G2576, "TRUE") = 1</formula>
    </cfRule>
    <cfRule type="expression" dxfId="1" priority="1718">
      <formula>COUNTIF($G2576, "FALSE") = 1</formula>
    </cfRule>
  </conditionalFormatting>
  <conditionalFormatting sqref="A2579:G2579">
    <cfRule type="expression" dxfId="0" priority="1719">
      <formula>COUNTIF($G2579, "TRUE") = 1</formula>
    </cfRule>
    <cfRule type="expression" dxfId="1" priority="1720">
      <formula>COUNTIF($G2579, "FALSE") = 1</formula>
    </cfRule>
  </conditionalFormatting>
  <conditionalFormatting sqref="A257:G257">
    <cfRule type="expression" dxfId="0" priority="171">
      <formula>COUNTIF($G257, "TRUE") = 1</formula>
    </cfRule>
    <cfRule type="expression" dxfId="1" priority="172">
      <formula>COUNTIF($G257, "FALSE") = 1</formula>
    </cfRule>
  </conditionalFormatting>
  <conditionalFormatting sqref="A2582:G2582">
    <cfRule type="expression" dxfId="0" priority="1721">
      <formula>COUNTIF($G2582, "TRUE") = 1</formula>
    </cfRule>
    <cfRule type="expression" dxfId="1" priority="1722">
      <formula>COUNTIF($G2582, "FALSE") = 1</formula>
    </cfRule>
  </conditionalFormatting>
  <conditionalFormatting sqref="A2585:G2585">
    <cfRule type="expression" dxfId="0" priority="1723">
      <formula>COUNTIF($G2585, "TRUE") = 1</formula>
    </cfRule>
    <cfRule type="expression" dxfId="1" priority="1724">
      <formula>COUNTIF($G2585, "FALSE") = 1</formula>
    </cfRule>
  </conditionalFormatting>
  <conditionalFormatting sqref="A2588:G2588">
    <cfRule type="expression" dxfId="0" priority="1725">
      <formula>COUNTIF($G2588, "TRUE") = 1</formula>
    </cfRule>
    <cfRule type="expression" dxfId="1" priority="1726">
      <formula>COUNTIF($G2588, "FALSE") = 1</formula>
    </cfRule>
  </conditionalFormatting>
  <conditionalFormatting sqref="A2591:G2591">
    <cfRule type="expression" dxfId="0" priority="1727">
      <formula>COUNTIF($G2591, "TRUE") = 1</formula>
    </cfRule>
    <cfRule type="expression" dxfId="1" priority="1728">
      <formula>COUNTIF($G2591, "FALSE") = 1</formula>
    </cfRule>
  </conditionalFormatting>
  <conditionalFormatting sqref="A2594:G2594">
    <cfRule type="expression" dxfId="0" priority="1729">
      <formula>COUNTIF($G2594, "TRUE") = 1</formula>
    </cfRule>
    <cfRule type="expression" dxfId="1" priority="1730">
      <formula>COUNTIF($G2594, "FALSE") = 1</formula>
    </cfRule>
  </conditionalFormatting>
  <conditionalFormatting sqref="A2597:G2597">
    <cfRule type="expression" dxfId="0" priority="1731">
      <formula>COUNTIF($G2597, "TRUE") = 1</formula>
    </cfRule>
    <cfRule type="expression" dxfId="1" priority="1732">
      <formula>COUNTIF($G2597, "FALSE") = 1</formula>
    </cfRule>
  </conditionalFormatting>
  <conditionalFormatting sqref="A2600:G2600">
    <cfRule type="expression" dxfId="0" priority="1733">
      <formula>COUNTIF($G2600, "TRUE") = 1</formula>
    </cfRule>
    <cfRule type="expression" dxfId="1" priority="1734">
      <formula>COUNTIF($G2600, "FALSE") = 1</formula>
    </cfRule>
  </conditionalFormatting>
  <conditionalFormatting sqref="A2603:G2603">
    <cfRule type="expression" dxfId="0" priority="1735">
      <formula>COUNTIF($G2603, "TRUE") = 1</formula>
    </cfRule>
    <cfRule type="expression" dxfId="1" priority="1736">
      <formula>COUNTIF($G2603, "FALSE") = 1</formula>
    </cfRule>
  </conditionalFormatting>
  <conditionalFormatting sqref="A2606:G2606">
    <cfRule type="expression" dxfId="0" priority="1737">
      <formula>COUNTIF($G2606, "TRUE") = 1</formula>
    </cfRule>
    <cfRule type="expression" dxfId="1" priority="1738">
      <formula>COUNTIF($G2606, "FALSE") = 1</formula>
    </cfRule>
  </conditionalFormatting>
  <conditionalFormatting sqref="A2609:G2609">
    <cfRule type="expression" dxfId="0" priority="1739">
      <formula>COUNTIF($G2609, "TRUE") = 1</formula>
    </cfRule>
    <cfRule type="expression" dxfId="1" priority="1740">
      <formula>COUNTIF($G2609, "FALSE") = 1</formula>
    </cfRule>
  </conditionalFormatting>
  <conditionalFormatting sqref="A260:G260">
    <cfRule type="expression" dxfId="0" priority="173">
      <formula>COUNTIF($G260, "TRUE") = 1</formula>
    </cfRule>
    <cfRule type="expression" dxfId="1" priority="174">
      <formula>COUNTIF($G260, "FALSE") = 1</formula>
    </cfRule>
  </conditionalFormatting>
  <conditionalFormatting sqref="A2612:G2612">
    <cfRule type="expression" dxfId="0" priority="1741">
      <formula>COUNTIF($G2612, "TRUE") = 1</formula>
    </cfRule>
    <cfRule type="expression" dxfId="1" priority="1742">
      <formula>COUNTIF($G2612, "FALSE") = 1</formula>
    </cfRule>
  </conditionalFormatting>
  <conditionalFormatting sqref="A2615:G2615">
    <cfRule type="expression" dxfId="0" priority="1743">
      <formula>COUNTIF($G2615, "TRUE") = 1</formula>
    </cfRule>
    <cfRule type="expression" dxfId="1" priority="1744">
      <formula>COUNTIF($G2615, "FALSE") = 1</formula>
    </cfRule>
  </conditionalFormatting>
  <conditionalFormatting sqref="A2618:G2618">
    <cfRule type="expression" dxfId="0" priority="1745">
      <formula>COUNTIF($G2618, "TRUE") = 1</formula>
    </cfRule>
    <cfRule type="expression" dxfId="1" priority="1746">
      <formula>COUNTIF($G2618, "FALSE") = 1</formula>
    </cfRule>
  </conditionalFormatting>
  <conditionalFormatting sqref="A2621:G2621">
    <cfRule type="expression" dxfId="0" priority="1747">
      <formula>COUNTIF($G2621, "TRUE") = 1</formula>
    </cfRule>
    <cfRule type="expression" dxfId="1" priority="1748">
      <formula>COUNTIF($G2621, "FALSE") = 1</formula>
    </cfRule>
  </conditionalFormatting>
  <conditionalFormatting sqref="A2624:G2624">
    <cfRule type="expression" dxfId="0" priority="1749">
      <formula>COUNTIF($G2624, "TRUE") = 1</formula>
    </cfRule>
    <cfRule type="expression" dxfId="1" priority="1750">
      <formula>COUNTIF($G2624, "FALSE") = 1</formula>
    </cfRule>
  </conditionalFormatting>
  <conditionalFormatting sqref="A2627:G2627">
    <cfRule type="expression" dxfId="0" priority="1751">
      <formula>COUNTIF($G2627, "TRUE") = 1</formula>
    </cfRule>
    <cfRule type="expression" dxfId="1" priority="1752">
      <formula>COUNTIF($G2627, "FALSE") = 1</formula>
    </cfRule>
  </conditionalFormatting>
  <conditionalFormatting sqref="A2630:G2630">
    <cfRule type="expression" dxfId="0" priority="1753">
      <formula>COUNTIF($G2630, "TRUE") = 1</formula>
    </cfRule>
    <cfRule type="expression" dxfId="1" priority="1754">
      <formula>COUNTIF($G2630, "FALSE") = 1</formula>
    </cfRule>
  </conditionalFormatting>
  <conditionalFormatting sqref="A2633:G2633">
    <cfRule type="expression" dxfId="0" priority="1755">
      <formula>COUNTIF($G2633, "TRUE") = 1</formula>
    </cfRule>
    <cfRule type="expression" dxfId="1" priority="1756">
      <formula>COUNTIF($G2633, "FALSE") = 1</formula>
    </cfRule>
  </conditionalFormatting>
  <conditionalFormatting sqref="A2636:G2636">
    <cfRule type="expression" dxfId="0" priority="1757">
      <formula>COUNTIF($G2636, "TRUE") = 1</formula>
    </cfRule>
    <cfRule type="expression" dxfId="1" priority="1758">
      <formula>COUNTIF($G2636, "FALSE") = 1</formula>
    </cfRule>
  </conditionalFormatting>
  <conditionalFormatting sqref="A2639:G2639">
    <cfRule type="expression" dxfId="0" priority="1759">
      <formula>COUNTIF($G2639, "TRUE") = 1</formula>
    </cfRule>
    <cfRule type="expression" dxfId="1" priority="1760">
      <formula>COUNTIF($G2639, "FALSE") = 1</formula>
    </cfRule>
  </conditionalFormatting>
  <conditionalFormatting sqref="A263:G263">
    <cfRule type="expression" dxfId="0" priority="175">
      <formula>COUNTIF($G263, "TRUE") = 1</formula>
    </cfRule>
    <cfRule type="expression" dxfId="1" priority="176">
      <formula>COUNTIF($G263, "FALSE") = 1</formula>
    </cfRule>
  </conditionalFormatting>
  <conditionalFormatting sqref="A2642:G2642">
    <cfRule type="expression" dxfId="0" priority="1761">
      <formula>COUNTIF($G2642, "TRUE") = 1</formula>
    </cfRule>
    <cfRule type="expression" dxfId="1" priority="1762">
      <formula>COUNTIF($G2642, "FALSE") = 1</formula>
    </cfRule>
  </conditionalFormatting>
  <conditionalFormatting sqref="A2645:G2645">
    <cfRule type="expression" dxfId="0" priority="1763">
      <formula>COUNTIF($G2645, "TRUE") = 1</formula>
    </cfRule>
    <cfRule type="expression" dxfId="1" priority="1764">
      <formula>COUNTIF($G2645, "FALSE") = 1</formula>
    </cfRule>
  </conditionalFormatting>
  <conditionalFormatting sqref="A2648:G2648">
    <cfRule type="expression" dxfId="0" priority="1765">
      <formula>COUNTIF($G2648, "TRUE") = 1</formula>
    </cfRule>
    <cfRule type="expression" dxfId="1" priority="1766">
      <formula>COUNTIF($G2648, "FALSE") = 1</formula>
    </cfRule>
  </conditionalFormatting>
  <conditionalFormatting sqref="A2651:G2651">
    <cfRule type="expression" dxfId="0" priority="1767">
      <formula>COUNTIF($G2651, "TRUE") = 1</formula>
    </cfRule>
    <cfRule type="expression" dxfId="1" priority="1768">
      <formula>COUNTIF($G2651, "FALSE") = 1</formula>
    </cfRule>
  </conditionalFormatting>
  <conditionalFormatting sqref="A2654:G2654">
    <cfRule type="expression" dxfId="0" priority="1769">
      <formula>COUNTIF($G2654, "TRUE") = 1</formula>
    </cfRule>
    <cfRule type="expression" dxfId="1" priority="1770">
      <formula>COUNTIF($G2654, "FALSE") = 1</formula>
    </cfRule>
  </conditionalFormatting>
  <conditionalFormatting sqref="A2657:G2657">
    <cfRule type="expression" dxfId="0" priority="1771">
      <formula>COUNTIF($G2657, "TRUE") = 1</formula>
    </cfRule>
    <cfRule type="expression" dxfId="1" priority="1772">
      <formula>COUNTIF($G2657, "FALSE") = 1</formula>
    </cfRule>
  </conditionalFormatting>
  <conditionalFormatting sqref="A2660:G2660">
    <cfRule type="expression" dxfId="0" priority="1773">
      <formula>COUNTIF($G2660, "TRUE") = 1</formula>
    </cfRule>
    <cfRule type="expression" dxfId="1" priority="1774">
      <formula>COUNTIF($G2660, "FALSE") = 1</formula>
    </cfRule>
  </conditionalFormatting>
  <conditionalFormatting sqref="A2663:G2663">
    <cfRule type="expression" dxfId="0" priority="1775">
      <formula>COUNTIF($G2663, "TRUE") = 1</formula>
    </cfRule>
    <cfRule type="expression" dxfId="1" priority="1776">
      <formula>COUNTIF($G2663, "FALSE") = 1</formula>
    </cfRule>
  </conditionalFormatting>
  <conditionalFormatting sqref="A2666:G2666">
    <cfRule type="expression" dxfId="0" priority="1777">
      <formula>COUNTIF($G2666, "TRUE") = 1</formula>
    </cfRule>
    <cfRule type="expression" dxfId="1" priority="1778">
      <formula>COUNTIF($G2666, "FALSE") = 1</formula>
    </cfRule>
  </conditionalFormatting>
  <conditionalFormatting sqref="A2669:G2669">
    <cfRule type="expression" dxfId="0" priority="1779">
      <formula>COUNTIF($G2669, "TRUE") = 1</formula>
    </cfRule>
    <cfRule type="expression" dxfId="1" priority="1780">
      <formula>COUNTIF($G2669, "FALSE") = 1</formula>
    </cfRule>
  </conditionalFormatting>
  <conditionalFormatting sqref="A266:G266">
    <cfRule type="expression" dxfId="0" priority="177">
      <formula>COUNTIF($G266, "TRUE") = 1</formula>
    </cfRule>
    <cfRule type="expression" dxfId="1" priority="178">
      <formula>COUNTIF($G266, "FALSE") = 1</formula>
    </cfRule>
  </conditionalFormatting>
  <conditionalFormatting sqref="A2672:G2672">
    <cfRule type="expression" dxfId="0" priority="1781">
      <formula>COUNTIF($G2672, "TRUE") = 1</formula>
    </cfRule>
    <cfRule type="expression" dxfId="1" priority="1782">
      <formula>COUNTIF($G2672, "FALSE") = 1</formula>
    </cfRule>
  </conditionalFormatting>
  <conditionalFormatting sqref="A2675:G2675">
    <cfRule type="expression" dxfId="0" priority="1783">
      <formula>COUNTIF($G2675, "TRUE") = 1</formula>
    </cfRule>
    <cfRule type="expression" dxfId="1" priority="1784">
      <formula>COUNTIF($G2675, "FALSE") = 1</formula>
    </cfRule>
  </conditionalFormatting>
  <conditionalFormatting sqref="A2678:G2678">
    <cfRule type="expression" dxfId="0" priority="1785">
      <formula>COUNTIF($G2678, "TRUE") = 1</formula>
    </cfRule>
    <cfRule type="expression" dxfId="1" priority="1786">
      <formula>COUNTIF($G2678, "FALSE") = 1</formula>
    </cfRule>
  </conditionalFormatting>
  <conditionalFormatting sqref="A2681:G2681">
    <cfRule type="expression" dxfId="0" priority="1787">
      <formula>COUNTIF($G2681, "TRUE") = 1</formula>
    </cfRule>
    <cfRule type="expression" dxfId="1" priority="1788">
      <formula>COUNTIF($G2681, "FALSE") = 1</formula>
    </cfRule>
  </conditionalFormatting>
  <conditionalFormatting sqref="A2684:G2684">
    <cfRule type="expression" dxfId="0" priority="1789">
      <formula>COUNTIF($G2684, "TRUE") = 1</formula>
    </cfRule>
    <cfRule type="expression" dxfId="1" priority="1790">
      <formula>COUNTIF($G2684, "FALSE") = 1</formula>
    </cfRule>
  </conditionalFormatting>
  <conditionalFormatting sqref="A2687:G2687">
    <cfRule type="expression" dxfId="0" priority="1791">
      <formula>COUNTIF($G2687, "TRUE") = 1</formula>
    </cfRule>
    <cfRule type="expression" dxfId="1" priority="1792">
      <formula>COUNTIF($G2687, "FALSE") = 1</formula>
    </cfRule>
  </conditionalFormatting>
  <conditionalFormatting sqref="A2690:G2690">
    <cfRule type="expression" dxfId="0" priority="1793">
      <formula>COUNTIF($G2690, "TRUE") = 1</formula>
    </cfRule>
    <cfRule type="expression" dxfId="1" priority="1794">
      <formula>COUNTIF($G2690, "FALSE") = 1</formula>
    </cfRule>
  </conditionalFormatting>
  <conditionalFormatting sqref="A2693:G2693">
    <cfRule type="expression" dxfId="0" priority="1795">
      <formula>COUNTIF($G2693, "TRUE") = 1</formula>
    </cfRule>
    <cfRule type="expression" dxfId="1" priority="1796">
      <formula>COUNTIF($G2693, "FALSE") = 1</formula>
    </cfRule>
  </conditionalFormatting>
  <conditionalFormatting sqref="A2696:G2696">
    <cfRule type="expression" dxfId="0" priority="1797">
      <formula>COUNTIF($G2696, "TRUE") = 1</formula>
    </cfRule>
    <cfRule type="expression" dxfId="1" priority="1798">
      <formula>COUNTIF($G2696, "FALSE") = 1</formula>
    </cfRule>
  </conditionalFormatting>
  <conditionalFormatting sqref="A2699:G2699">
    <cfRule type="expression" dxfId="0" priority="1799">
      <formula>COUNTIF($G2699, "TRUE") = 1</formula>
    </cfRule>
    <cfRule type="expression" dxfId="1" priority="1800">
      <formula>COUNTIF($G2699, "FALSE") = 1</formula>
    </cfRule>
  </conditionalFormatting>
  <conditionalFormatting sqref="A269:G269">
    <cfRule type="expression" dxfId="0" priority="179">
      <formula>COUNTIF($G269, "TRUE") = 1</formula>
    </cfRule>
    <cfRule type="expression" dxfId="1" priority="180">
      <formula>COUNTIF($G269, "FALSE") = 1</formula>
    </cfRule>
  </conditionalFormatting>
  <conditionalFormatting sqref="A26:G26">
    <cfRule type="expression" dxfId="0" priority="17">
      <formula>COUNTIF($G26, "TRUE") = 1</formula>
    </cfRule>
    <cfRule type="expression" dxfId="1" priority="18">
      <formula>COUNTIF($G26, "FALSE") = 1</formula>
    </cfRule>
  </conditionalFormatting>
  <conditionalFormatting sqref="A2702:G2702">
    <cfRule type="expression" dxfId="0" priority="1801">
      <formula>COUNTIF($G2702, "TRUE") = 1</formula>
    </cfRule>
    <cfRule type="expression" dxfId="1" priority="1802">
      <formula>COUNTIF($G2702, "FALSE") = 1</formula>
    </cfRule>
  </conditionalFormatting>
  <conditionalFormatting sqref="A2705:G2705">
    <cfRule type="expression" dxfId="0" priority="1803">
      <formula>COUNTIF($G2705, "TRUE") = 1</formula>
    </cfRule>
    <cfRule type="expression" dxfId="1" priority="1804">
      <formula>COUNTIF($G2705, "FALSE") = 1</formula>
    </cfRule>
  </conditionalFormatting>
  <conditionalFormatting sqref="A2708:G2708">
    <cfRule type="expression" dxfId="0" priority="1805">
      <formula>COUNTIF($G2708, "TRUE") = 1</formula>
    </cfRule>
    <cfRule type="expression" dxfId="1" priority="1806">
      <formula>COUNTIF($G2708, "FALSE") = 1</formula>
    </cfRule>
  </conditionalFormatting>
  <conditionalFormatting sqref="A2711:G2711">
    <cfRule type="expression" dxfId="0" priority="1807">
      <formula>COUNTIF($G2711, "TRUE") = 1</formula>
    </cfRule>
    <cfRule type="expression" dxfId="1" priority="1808">
      <formula>COUNTIF($G2711, "FALSE") = 1</formula>
    </cfRule>
  </conditionalFormatting>
  <conditionalFormatting sqref="A2714:G2714">
    <cfRule type="expression" dxfId="0" priority="1809">
      <formula>COUNTIF($G2714, "TRUE") = 1</formula>
    </cfRule>
    <cfRule type="expression" dxfId="1" priority="1810">
      <formula>COUNTIF($G2714, "FALSE") = 1</formula>
    </cfRule>
  </conditionalFormatting>
  <conditionalFormatting sqref="A2717:G2717">
    <cfRule type="expression" dxfId="0" priority="1811">
      <formula>COUNTIF($G2717, "TRUE") = 1</formula>
    </cfRule>
    <cfRule type="expression" dxfId="1" priority="1812">
      <formula>COUNTIF($G2717, "FALSE") = 1</formula>
    </cfRule>
  </conditionalFormatting>
  <conditionalFormatting sqref="A2720:G2720">
    <cfRule type="expression" dxfId="0" priority="1813">
      <formula>COUNTIF($G2720, "TRUE") = 1</formula>
    </cfRule>
    <cfRule type="expression" dxfId="1" priority="1814">
      <formula>COUNTIF($G2720, "FALSE") = 1</formula>
    </cfRule>
  </conditionalFormatting>
  <conditionalFormatting sqref="A2723:G2723">
    <cfRule type="expression" dxfId="0" priority="1815">
      <formula>COUNTIF($G2723, "TRUE") = 1</formula>
    </cfRule>
    <cfRule type="expression" dxfId="1" priority="1816">
      <formula>COUNTIF($G2723, "FALSE") = 1</formula>
    </cfRule>
  </conditionalFormatting>
  <conditionalFormatting sqref="A2726:G2726">
    <cfRule type="expression" dxfId="0" priority="1817">
      <formula>COUNTIF($G2726, "TRUE") = 1</formula>
    </cfRule>
    <cfRule type="expression" dxfId="1" priority="1818">
      <formula>COUNTIF($G2726, "FALSE") = 1</formula>
    </cfRule>
  </conditionalFormatting>
  <conditionalFormatting sqref="A2729:G2729">
    <cfRule type="expression" dxfId="0" priority="1819">
      <formula>COUNTIF($G2729, "TRUE") = 1</formula>
    </cfRule>
    <cfRule type="expression" dxfId="1" priority="1820">
      <formula>COUNTIF($G2729, "FALSE") = 1</formula>
    </cfRule>
  </conditionalFormatting>
  <conditionalFormatting sqref="A272:G272">
    <cfRule type="expression" dxfId="0" priority="181">
      <formula>COUNTIF($G272, "TRUE") = 1</formula>
    </cfRule>
    <cfRule type="expression" dxfId="1" priority="182">
      <formula>COUNTIF($G272, "FALSE") = 1</formula>
    </cfRule>
  </conditionalFormatting>
  <conditionalFormatting sqref="A2732:G2732">
    <cfRule type="expression" dxfId="0" priority="1821">
      <formula>COUNTIF($G2732, "TRUE") = 1</formula>
    </cfRule>
    <cfRule type="expression" dxfId="1" priority="1822">
      <formula>COUNTIF($G2732, "FALSE") = 1</formula>
    </cfRule>
  </conditionalFormatting>
  <conditionalFormatting sqref="A2735:G2735">
    <cfRule type="expression" dxfId="0" priority="1823">
      <formula>COUNTIF($G2735, "TRUE") = 1</formula>
    </cfRule>
    <cfRule type="expression" dxfId="1" priority="1824">
      <formula>COUNTIF($G2735, "FALSE") = 1</formula>
    </cfRule>
  </conditionalFormatting>
  <conditionalFormatting sqref="A2738:G2738">
    <cfRule type="expression" dxfId="0" priority="1825">
      <formula>COUNTIF($G2738, "TRUE") = 1</formula>
    </cfRule>
    <cfRule type="expression" dxfId="1" priority="1826">
      <formula>COUNTIF($G2738, "FALSE") = 1</formula>
    </cfRule>
  </conditionalFormatting>
  <conditionalFormatting sqref="A2741:G2741">
    <cfRule type="expression" dxfId="0" priority="1827">
      <formula>COUNTIF($G2741, "TRUE") = 1</formula>
    </cfRule>
    <cfRule type="expression" dxfId="1" priority="1828">
      <formula>COUNTIF($G2741, "FALSE") = 1</formula>
    </cfRule>
  </conditionalFormatting>
  <conditionalFormatting sqref="A2744:G2744">
    <cfRule type="expression" dxfId="0" priority="1829">
      <formula>COUNTIF($G2744, "TRUE") = 1</formula>
    </cfRule>
    <cfRule type="expression" dxfId="1" priority="1830">
      <formula>COUNTIF($G2744, "FALSE") = 1</formula>
    </cfRule>
  </conditionalFormatting>
  <conditionalFormatting sqref="A2747:G2747">
    <cfRule type="expression" dxfId="0" priority="1831">
      <formula>COUNTIF($G2747, "TRUE") = 1</formula>
    </cfRule>
    <cfRule type="expression" dxfId="1" priority="1832">
      <formula>COUNTIF($G2747, "FALSE") = 1</formula>
    </cfRule>
  </conditionalFormatting>
  <conditionalFormatting sqref="A2750:G2750">
    <cfRule type="expression" dxfId="0" priority="1833">
      <formula>COUNTIF($G2750, "TRUE") = 1</formula>
    </cfRule>
    <cfRule type="expression" dxfId="1" priority="1834">
      <formula>COUNTIF($G2750, "FALSE") = 1</formula>
    </cfRule>
  </conditionalFormatting>
  <conditionalFormatting sqref="A2753:G2753">
    <cfRule type="expression" dxfId="0" priority="1835">
      <formula>COUNTIF($G2753, "TRUE") = 1</formula>
    </cfRule>
    <cfRule type="expression" dxfId="1" priority="1836">
      <formula>COUNTIF($G2753, "FALSE") = 1</formula>
    </cfRule>
  </conditionalFormatting>
  <conditionalFormatting sqref="A2756:G2756">
    <cfRule type="expression" dxfId="0" priority="1837">
      <formula>COUNTIF($G2756, "TRUE") = 1</formula>
    </cfRule>
    <cfRule type="expression" dxfId="1" priority="1838">
      <formula>COUNTIF($G2756, "FALSE") = 1</formula>
    </cfRule>
  </conditionalFormatting>
  <conditionalFormatting sqref="A2759:G2759">
    <cfRule type="expression" dxfId="0" priority="1839">
      <formula>COUNTIF($G2759, "TRUE") = 1</formula>
    </cfRule>
    <cfRule type="expression" dxfId="1" priority="1840">
      <formula>COUNTIF($G2759, "FALSE") = 1</formula>
    </cfRule>
  </conditionalFormatting>
  <conditionalFormatting sqref="A275:G275">
    <cfRule type="expression" dxfId="0" priority="183">
      <formula>COUNTIF($G275, "TRUE") = 1</formula>
    </cfRule>
    <cfRule type="expression" dxfId="1" priority="184">
      <formula>COUNTIF($G275, "FALSE") = 1</formula>
    </cfRule>
  </conditionalFormatting>
  <conditionalFormatting sqref="A2762:G2762">
    <cfRule type="expression" dxfId="0" priority="1841">
      <formula>COUNTIF($G2762, "TRUE") = 1</formula>
    </cfRule>
    <cfRule type="expression" dxfId="1" priority="1842">
      <formula>COUNTIF($G2762, "FALSE") = 1</formula>
    </cfRule>
  </conditionalFormatting>
  <conditionalFormatting sqref="A2765:G2765">
    <cfRule type="expression" dxfId="0" priority="1843">
      <formula>COUNTIF($G2765, "TRUE") = 1</formula>
    </cfRule>
    <cfRule type="expression" dxfId="1" priority="1844">
      <formula>COUNTIF($G2765, "FALSE") = 1</formula>
    </cfRule>
  </conditionalFormatting>
  <conditionalFormatting sqref="A2768:G2768">
    <cfRule type="expression" dxfId="0" priority="1845">
      <formula>COUNTIF($G2768, "TRUE") = 1</formula>
    </cfRule>
    <cfRule type="expression" dxfId="1" priority="1846">
      <formula>COUNTIF($G2768, "FALSE") = 1</formula>
    </cfRule>
  </conditionalFormatting>
  <conditionalFormatting sqref="A2771:G2771">
    <cfRule type="expression" dxfId="0" priority="1847">
      <formula>COUNTIF($G2771, "TRUE") = 1</formula>
    </cfRule>
    <cfRule type="expression" dxfId="1" priority="1848">
      <formula>COUNTIF($G2771, "FALSE") = 1</formula>
    </cfRule>
  </conditionalFormatting>
  <conditionalFormatting sqref="A2774:G2774">
    <cfRule type="expression" dxfId="0" priority="1849">
      <formula>COUNTIF($G2774, "TRUE") = 1</formula>
    </cfRule>
    <cfRule type="expression" dxfId="1" priority="1850">
      <formula>COUNTIF($G2774, "FALSE") = 1</formula>
    </cfRule>
  </conditionalFormatting>
  <conditionalFormatting sqref="A2777:G2777">
    <cfRule type="expression" dxfId="0" priority="1851">
      <formula>COUNTIF($G2777, "TRUE") = 1</formula>
    </cfRule>
    <cfRule type="expression" dxfId="1" priority="1852">
      <formula>COUNTIF($G2777, "FALSE") = 1</formula>
    </cfRule>
  </conditionalFormatting>
  <conditionalFormatting sqref="A2780:G2780">
    <cfRule type="expression" dxfId="0" priority="1853">
      <formula>COUNTIF($G2780, "TRUE") = 1</formula>
    </cfRule>
    <cfRule type="expression" dxfId="1" priority="1854">
      <formula>COUNTIF($G2780, "FALSE") = 1</formula>
    </cfRule>
  </conditionalFormatting>
  <conditionalFormatting sqref="A2783:G2783">
    <cfRule type="expression" dxfId="0" priority="1855">
      <formula>COUNTIF($G2783, "TRUE") = 1</formula>
    </cfRule>
    <cfRule type="expression" dxfId="1" priority="1856">
      <formula>COUNTIF($G2783, "FALSE") = 1</formula>
    </cfRule>
  </conditionalFormatting>
  <conditionalFormatting sqref="A2786:G2786">
    <cfRule type="expression" dxfId="0" priority="1857">
      <formula>COUNTIF($G2786, "TRUE") = 1</formula>
    </cfRule>
    <cfRule type="expression" dxfId="1" priority="1858">
      <formula>COUNTIF($G2786, "FALSE") = 1</formula>
    </cfRule>
  </conditionalFormatting>
  <conditionalFormatting sqref="A2789:G2789">
    <cfRule type="expression" dxfId="0" priority="1859">
      <formula>COUNTIF($G2789, "TRUE") = 1</formula>
    </cfRule>
    <cfRule type="expression" dxfId="1" priority="1860">
      <formula>COUNTIF($G2789, "FALSE") = 1</formula>
    </cfRule>
  </conditionalFormatting>
  <conditionalFormatting sqref="A278:G278">
    <cfRule type="expression" dxfId="0" priority="185">
      <formula>COUNTIF($G278, "TRUE") = 1</formula>
    </cfRule>
    <cfRule type="expression" dxfId="1" priority="186">
      <formula>COUNTIF($G278, "FALSE") = 1</formula>
    </cfRule>
  </conditionalFormatting>
  <conditionalFormatting sqref="A2792:G2792">
    <cfRule type="expression" dxfId="0" priority="1861">
      <formula>COUNTIF($G2792, "TRUE") = 1</formula>
    </cfRule>
    <cfRule type="expression" dxfId="1" priority="1862">
      <formula>COUNTIF($G2792, "FALSE") = 1</formula>
    </cfRule>
  </conditionalFormatting>
  <conditionalFormatting sqref="A2795:G2795">
    <cfRule type="expression" dxfId="0" priority="1863">
      <formula>COUNTIF($G2795, "TRUE") = 1</formula>
    </cfRule>
    <cfRule type="expression" dxfId="1" priority="1864">
      <formula>COUNTIF($G2795, "FALSE") = 1</formula>
    </cfRule>
  </conditionalFormatting>
  <conditionalFormatting sqref="A2798:G2798">
    <cfRule type="expression" dxfId="0" priority="1865">
      <formula>COUNTIF($G2798, "TRUE") = 1</formula>
    </cfRule>
    <cfRule type="expression" dxfId="1" priority="1866">
      <formula>COUNTIF($G2798, "FALSE") = 1</formula>
    </cfRule>
  </conditionalFormatting>
  <conditionalFormatting sqref="A2801:G2801">
    <cfRule type="expression" dxfId="0" priority="1867">
      <formula>COUNTIF($G2801, "TRUE") = 1</formula>
    </cfRule>
    <cfRule type="expression" dxfId="1" priority="1868">
      <formula>COUNTIF($G2801, "FALSE") = 1</formula>
    </cfRule>
  </conditionalFormatting>
  <conditionalFormatting sqref="A2804:G2804">
    <cfRule type="expression" dxfId="0" priority="1869">
      <formula>COUNTIF($G2804, "TRUE") = 1</formula>
    </cfRule>
    <cfRule type="expression" dxfId="1" priority="1870">
      <formula>COUNTIF($G2804, "FALSE") = 1</formula>
    </cfRule>
  </conditionalFormatting>
  <conditionalFormatting sqref="A2807:G2807">
    <cfRule type="expression" dxfId="0" priority="1871">
      <formula>COUNTIF($G2807, "TRUE") = 1</formula>
    </cfRule>
    <cfRule type="expression" dxfId="1" priority="1872">
      <formula>COUNTIF($G2807, "FALSE") = 1</formula>
    </cfRule>
  </conditionalFormatting>
  <conditionalFormatting sqref="A2810:G2810">
    <cfRule type="expression" dxfId="0" priority="1873">
      <formula>COUNTIF($G2810, "TRUE") = 1</formula>
    </cfRule>
    <cfRule type="expression" dxfId="1" priority="1874">
      <formula>COUNTIF($G2810, "FALSE") = 1</formula>
    </cfRule>
  </conditionalFormatting>
  <conditionalFormatting sqref="A2813:G2813">
    <cfRule type="expression" dxfId="0" priority="1875">
      <formula>COUNTIF($G2813, "TRUE") = 1</formula>
    </cfRule>
    <cfRule type="expression" dxfId="1" priority="1876">
      <formula>COUNTIF($G2813, "FALSE") = 1</formula>
    </cfRule>
  </conditionalFormatting>
  <conditionalFormatting sqref="A2816:G2816">
    <cfRule type="expression" dxfId="0" priority="1877">
      <formula>COUNTIF($G2816, "TRUE") = 1</formula>
    </cfRule>
    <cfRule type="expression" dxfId="1" priority="1878">
      <formula>COUNTIF($G2816, "FALSE") = 1</formula>
    </cfRule>
  </conditionalFormatting>
  <conditionalFormatting sqref="A2819:G2819">
    <cfRule type="expression" dxfId="0" priority="1879">
      <formula>COUNTIF($G2819, "TRUE") = 1</formula>
    </cfRule>
    <cfRule type="expression" dxfId="1" priority="1880">
      <formula>COUNTIF($G2819, "FALSE") = 1</formula>
    </cfRule>
  </conditionalFormatting>
  <conditionalFormatting sqref="A281:G281">
    <cfRule type="expression" dxfId="0" priority="187">
      <formula>COUNTIF($G281, "TRUE") = 1</formula>
    </cfRule>
    <cfRule type="expression" dxfId="1" priority="188">
      <formula>COUNTIF($G281, "FALSE") = 1</formula>
    </cfRule>
  </conditionalFormatting>
  <conditionalFormatting sqref="A2822:G2822">
    <cfRule type="expression" dxfId="0" priority="1881">
      <formula>COUNTIF($G2822, "TRUE") = 1</formula>
    </cfRule>
    <cfRule type="expression" dxfId="1" priority="1882">
      <formula>COUNTIF($G2822, "FALSE") = 1</formula>
    </cfRule>
  </conditionalFormatting>
  <conditionalFormatting sqref="A2825:G2825">
    <cfRule type="expression" dxfId="0" priority="1883">
      <formula>COUNTIF($G2825, "TRUE") = 1</formula>
    </cfRule>
    <cfRule type="expression" dxfId="1" priority="1884">
      <formula>COUNTIF($G2825, "FALSE") = 1</formula>
    </cfRule>
  </conditionalFormatting>
  <conditionalFormatting sqref="A2828:G2828">
    <cfRule type="expression" dxfId="0" priority="1885">
      <formula>COUNTIF($G2828, "TRUE") = 1</formula>
    </cfRule>
    <cfRule type="expression" dxfId="1" priority="1886">
      <formula>COUNTIF($G2828, "FALSE") = 1</formula>
    </cfRule>
  </conditionalFormatting>
  <conditionalFormatting sqref="A2831:G2831">
    <cfRule type="expression" dxfId="0" priority="1887">
      <formula>COUNTIF($G2831, "TRUE") = 1</formula>
    </cfRule>
    <cfRule type="expression" dxfId="1" priority="1888">
      <formula>COUNTIF($G2831, "FALSE") = 1</formula>
    </cfRule>
  </conditionalFormatting>
  <conditionalFormatting sqref="A2834:G2834">
    <cfRule type="expression" dxfId="0" priority="1889">
      <formula>COUNTIF($G2834, "TRUE") = 1</formula>
    </cfRule>
    <cfRule type="expression" dxfId="1" priority="1890">
      <formula>COUNTIF($G2834, "FALSE") = 1</formula>
    </cfRule>
  </conditionalFormatting>
  <conditionalFormatting sqref="A2837:G2837">
    <cfRule type="expression" dxfId="0" priority="1891">
      <formula>COUNTIF($G2837, "TRUE") = 1</formula>
    </cfRule>
    <cfRule type="expression" dxfId="1" priority="1892">
      <formula>COUNTIF($G2837, "FALSE") = 1</formula>
    </cfRule>
  </conditionalFormatting>
  <conditionalFormatting sqref="A2840:G2840">
    <cfRule type="expression" dxfId="0" priority="1893">
      <formula>COUNTIF($G2840, "TRUE") = 1</formula>
    </cfRule>
    <cfRule type="expression" dxfId="1" priority="1894">
      <formula>COUNTIF($G2840, "FALSE") = 1</formula>
    </cfRule>
  </conditionalFormatting>
  <conditionalFormatting sqref="A2843:G2843">
    <cfRule type="expression" dxfId="0" priority="1895">
      <formula>COUNTIF($G2843, "TRUE") = 1</formula>
    </cfRule>
    <cfRule type="expression" dxfId="1" priority="1896">
      <formula>COUNTIF($G2843, "FALSE") = 1</formula>
    </cfRule>
  </conditionalFormatting>
  <conditionalFormatting sqref="A2846:G2846">
    <cfRule type="expression" dxfId="0" priority="1897">
      <formula>COUNTIF($G2846, "TRUE") = 1</formula>
    </cfRule>
    <cfRule type="expression" dxfId="1" priority="1898">
      <formula>COUNTIF($G2846, "FALSE") = 1</formula>
    </cfRule>
  </conditionalFormatting>
  <conditionalFormatting sqref="A2849:G2849">
    <cfRule type="expression" dxfId="0" priority="1899">
      <formula>COUNTIF($G2849, "TRUE") = 1</formula>
    </cfRule>
    <cfRule type="expression" dxfId="1" priority="1900">
      <formula>COUNTIF($G2849, "FALSE") = 1</formula>
    </cfRule>
  </conditionalFormatting>
  <conditionalFormatting sqref="A284:G284">
    <cfRule type="expression" dxfId="0" priority="189">
      <formula>COUNTIF($G284, "TRUE") = 1</formula>
    </cfRule>
    <cfRule type="expression" dxfId="1" priority="190">
      <formula>COUNTIF($G284, "FALSE") = 1</formula>
    </cfRule>
  </conditionalFormatting>
  <conditionalFormatting sqref="A2852:G2852">
    <cfRule type="expression" dxfId="0" priority="1901">
      <formula>COUNTIF($G2852, "TRUE") = 1</formula>
    </cfRule>
    <cfRule type="expression" dxfId="1" priority="1902">
      <formula>COUNTIF($G2852, "FALSE") = 1</formula>
    </cfRule>
  </conditionalFormatting>
  <conditionalFormatting sqref="A2855:G2855">
    <cfRule type="expression" dxfId="0" priority="1903">
      <formula>COUNTIF($G2855, "TRUE") = 1</formula>
    </cfRule>
    <cfRule type="expression" dxfId="1" priority="1904">
      <formula>COUNTIF($G2855, "FALSE") = 1</formula>
    </cfRule>
  </conditionalFormatting>
  <conditionalFormatting sqref="A2858:G2858">
    <cfRule type="expression" dxfId="0" priority="1905">
      <formula>COUNTIF($G2858, "TRUE") = 1</formula>
    </cfRule>
    <cfRule type="expression" dxfId="1" priority="1906">
      <formula>COUNTIF($G2858, "FALSE") = 1</formula>
    </cfRule>
  </conditionalFormatting>
  <conditionalFormatting sqref="A2861:G2861">
    <cfRule type="expression" dxfId="0" priority="1907">
      <formula>COUNTIF($G2861, "TRUE") = 1</formula>
    </cfRule>
    <cfRule type="expression" dxfId="1" priority="1908">
      <formula>COUNTIF($G2861, "FALSE") = 1</formula>
    </cfRule>
  </conditionalFormatting>
  <conditionalFormatting sqref="A2864:G2864">
    <cfRule type="expression" dxfId="0" priority="1909">
      <formula>COUNTIF($G2864, "TRUE") = 1</formula>
    </cfRule>
    <cfRule type="expression" dxfId="1" priority="1910">
      <formula>COUNTIF($G2864, "FALSE") = 1</formula>
    </cfRule>
  </conditionalFormatting>
  <conditionalFormatting sqref="A2867:G2867">
    <cfRule type="expression" dxfId="0" priority="1911">
      <formula>COUNTIF($G2867, "TRUE") = 1</formula>
    </cfRule>
    <cfRule type="expression" dxfId="1" priority="1912">
      <formula>COUNTIF($G2867, "FALSE") = 1</formula>
    </cfRule>
  </conditionalFormatting>
  <conditionalFormatting sqref="A2870:G2870">
    <cfRule type="expression" dxfId="0" priority="1913">
      <formula>COUNTIF($G2870, "TRUE") = 1</formula>
    </cfRule>
    <cfRule type="expression" dxfId="1" priority="1914">
      <formula>COUNTIF($G2870, "FALSE") = 1</formula>
    </cfRule>
  </conditionalFormatting>
  <conditionalFormatting sqref="A2873:G2873">
    <cfRule type="expression" dxfId="0" priority="1915">
      <formula>COUNTIF($G2873, "TRUE") = 1</formula>
    </cfRule>
    <cfRule type="expression" dxfId="1" priority="1916">
      <formula>COUNTIF($G2873, "FALSE") = 1</formula>
    </cfRule>
  </conditionalFormatting>
  <conditionalFormatting sqref="A2876:G2876">
    <cfRule type="expression" dxfId="0" priority="1917">
      <formula>COUNTIF($G2876, "TRUE") = 1</formula>
    </cfRule>
    <cfRule type="expression" dxfId="1" priority="1918">
      <formula>COUNTIF($G2876, "FALSE") = 1</formula>
    </cfRule>
  </conditionalFormatting>
  <conditionalFormatting sqref="A2879:G2879">
    <cfRule type="expression" dxfId="0" priority="1919">
      <formula>COUNTIF($G2879, "TRUE") = 1</formula>
    </cfRule>
    <cfRule type="expression" dxfId="1" priority="1920">
      <formula>COUNTIF($G2879, "FALSE") = 1</formula>
    </cfRule>
  </conditionalFormatting>
  <conditionalFormatting sqref="A287:G287">
    <cfRule type="expression" dxfId="0" priority="191">
      <formula>COUNTIF($G287, "TRUE") = 1</formula>
    </cfRule>
    <cfRule type="expression" dxfId="1" priority="192">
      <formula>COUNTIF($G287, "FALSE") = 1</formula>
    </cfRule>
  </conditionalFormatting>
  <conditionalFormatting sqref="A2882:G2882">
    <cfRule type="expression" dxfId="0" priority="1921">
      <formula>COUNTIF($G2882, "TRUE") = 1</formula>
    </cfRule>
    <cfRule type="expression" dxfId="1" priority="1922">
      <formula>COUNTIF($G2882, "FALSE") = 1</formula>
    </cfRule>
  </conditionalFormatting>
  <conditionalFormatting sqref="A2885:G2885">
    <cfRule type="expression" dxfId="0" priority="1923">
      <formula>COUNTIF($G2885, "TRUE") = 1</formula>
    </cfRule>
    <cfRule type="expression" dxfId="1" priority="1924">
      <formula>COUNTIF($G2885, "FALSE") = 1</formula>
    </cfRule>
  </conditionalFormatting>
  <conditionalFormatting sqref="A2888:G2888">
    <cfRule type="expression" dxfId="0" priority="1925">
      <formula>COUNTIF($G2888, "TRUE") = 1</formula>
    </cfRule>
    <cfRule type="expression" dxfId="1" priority="1926">
      <formula>COUNTIF($G2888, "FALSE") = 1</formula>
    </cfRule>
  </conditionalFormatting>
  <conditionalFormatting sqref="A2891:G2891">
    <cfRule type="expression" dxfId="0" priority="1927">
      <formula>COUNTIF($G2891, "TRUE") = 1</formula>
    </cfRule>
    <cfRule type="expression" dxfId="1" priority="1928">
      <formula>COUNTIF($G2891, "FALSE") = 1</formula>
    </cfRule>
  </conditionalFormatting>
  <conditionalFormatting sqref="A2894:G2894">
    <cfRule type="expression" dxfId="0" priority="1929">
      <formula>COUNTIF($G2894, "TRUE") = 1</formula>
    </cfRule>
    <cfRule type="expression" dxfId="1" priority="1930">
      <formula>COUNTIF($G2894, "FALSE") = 1</formula>
    </cfRule>
  </conditionalFormatting>
  <conditionalFormatting sqref="A2897:G2897">
    <cfRule type="expression" dxfId="0" priority="1931">
      <formula>COUNTIF($G2897, "TRUE") = 1</formula>
    </cfRule>
    <cfRule type="expression" dxfId="1" priority="1932">
      <formula>COUNTIF($G2897, "FALSE") = 1</formula>
    </cfRule>
  </conditionalFormatting>
  <conditionalFormatting sqref="A2900:G2900">
    <cfRule type="expression" dxfId="0" priority="1933">
      <formula>COUNTIF($G2900, "TRUE") = 1</formula>
    </cfRule>
    <cfRule type="expression" dxfId="1" priority="1934">
      <formula>COUNTIF($G2900, "FALSE") = 1</formula>
    </cfRule>
  </conditionalFormatting>
  <conditionalFormatting sqref="A2903:G2903">
    <cfRule type="expression" dxfId="0" priority="1935">
      <formula>COUNTIF($G2903, "TRUE") = 1</formula>
    </cfRule>
    <cfRule type="expression" dxfId="1" priority="1936">
      <formula>COUNTIF($G2903, "FALSE") = 1</formula>
    </cfRule>
  </conditionalFormatting>
  <conditionalFormatting sqref="A2906:G2906">
    <cfRule type="expression" dxfId="0" priority="1937">
      <formula>COUNTIF($G2906, "TRUE") = 1</formula>
    </cfRule>
    <cfRule type="expression" dxfId="1" priority="1938">
      <formula>COUNTIF($G2906, "FALSE") = 1</formula>
    </cfRule>
  </conditionalFormatting>
  <conditionalFormatting sqref="A2909:G2909">
    <cfRule type="expression" dxfId="0" priority="1939">
      <formula>COUNTIF($G2909, "TRUE") = 1</formula>
    </cfRule>
    <cfRule type="expression" dxfId="1" priority="1940">
      <formula>COUNTIF($G2909, "FALSE") = 1</formula>
    </cfRule>
  </conditionalFormatting>
  <conditionalFormatting sqref="A290:G290">
    <cfRule type="expression" dxfId="0" priority="193">
      <formula>COUNTIF($G290, "TRUE") = 1</formula>
    </cfRule>
    <cfRule type="expression" dxfId="1" priority="194">
      <formula>COUNTIF($G290, "FALSE") = 1</formula>
    </cfRule>
  </conditionalFormatting>
  <conditionalFormatting sqref="A2912:G2912">
    <cfRule type="expression" dxfId="0" priority="1941">
      <formula>COUNTIF($G2912, "TRUE") = 1</formula>
    </cfRule>
    <cfRule type="expression" dxfId="1" priority="1942">
      <formula>COUNTIF($G2912, "FALSE") = 1</formula>
    </cfRule>
  </conditionalFormatting>
  <conditionalFormatting sqref="A2915:G2915">
    <cfRule type="expression" dxfId="0" priority="1943">
      <formula>COUNTIF($G2915, "TRUE") = 1</formula>
    </cfRule>
    <cfRule type="expression" dxfId="1" priority="1944">
      <formula>COUNTIF($G2915, "FALSE") = 1</formula>
    </cfRule>
  </conditionalFormatting>
  <conditionalFormatting sqref="A2918:G2918">
    <cfRule type="expression" dxfId="0" priority="1945">
      <formula>COUNTIF($G2918, "TRUE") = 1</formula>
    </cfRule>
    <cfRule type="expression" dxfId="1" priority="1946">
      <formula>COUNTIF($G2918, "FALSE") = 1</formula>
    </cfRule>
  </conditionalFormatting>
  <conditionalFormatting sqref="A2921:G2921">
    <cfRule type="expression" dxfId="0" priority="1947">
      <formula>COUNTIF($G2921, "TRUE") = 1</formula>
    </cfRule>
    <cfRule type="expression" dxfId="1" priority="1948">
      <formula>COUNTIF($G2921, "FALSE") = 1</formula>
    </cfRule>
  </conditionalFormatting>
  <conditionalFormatting sqref="A2924:G2924">
    <cfRule type="expression" dxfId="0" priority="1949">
      <formula>COUNTIF($G2924, "TRUE") = 1</formula>
    </cfRule>
    <cfRule type="expression" dxfId="1" priority="1950">
      <formula>COUNTIF($G2924, "FALSE") = 1</formula>
    </cfRule>
  </conditionalFormatting>
  <conditionalFormatting sqref="A2927:G2927">
    <cfRule type="expression" dxfId="0" priority="1951">
      <formula>COUNTIF($G2927, "TRUE") = 1</formula>
    </cfRule>
    <cfRule type="expression" dxfId="1" priority="1952">
      <formula>COUNTIF($G2927, "FALSE") = 1</formula>
    </cfRule>
  </conditionalFormatting>
  <conditionalFormatting sqref="A2930:G2930">
    <cfRule type="expression" dxfId="0" priority="1953">
      <formula>COUNTIF($G2930, "TRUE") = 1</formula>
    </cfRule>
    <cfRule type="expression" dxfId="1" priority="1954">
      <formula>COUNTIF($G2930, "FALSE") = 1</formula>
    </cfRule>
  </conditionalFormatting>
  <conditionalFormatting sqref="A2933:G2933">
    <cfRule type="expression" dxfId="0" priority="1955">
      <formula>COUNTIF($G2933, "TRUE") = 1</formula>
    </cfRule>
    <cfRule type="expression" dxfId="1" priority="1956">
      <formula>COUNTIF($G2933, "FALSE") = 1</formula>
    </cfRule>
  </conditionalFormatting>
  <conditionalFormatting sqref="A2936:G2936">
    <cfRule type="expression" dxfId="0" priority="1957">
      <formula>COUNTIF($G2936, "TRUE") = 1</formula>
    </cfRule>
    <cfRule type="expression" dxfId="1" priority="1958">
      <formula>COUNTIF($G2936, "FALSE") = 1</formula>
    </cfRule>
  </conditionalFormatting>
  <conditionalFormatting sqref="A2939:G2939">
    <cfRule type="expression" dxfId="0" priority="1959">
      <formula>COUNTIF($G2939, "TRUE") = 1</formula>
    </cfRule>
    <cfRule type="expression" dxfId="1" priority="1960">
      <formula>COUNTIF($G2939, "FALSE") = 1</formula>
    </cfRule>
  </conditionalFormatting>
  <conditionalFormatting sqref="A293:G293">
    <cfRule type="expression" dxfId="0" priority="195">
      <formula>COUNTIF($G293, "TRUE") = 1</formula>
    </cfRule>
    <cfRule type="expression" dxfId="1" priority="196">
      <formula>COUNTIF($G293, "FALSE") = 1</formula>
    </cfRule>
  </conditionalFormatting>
  <conditionalFormatting sqref="A2942:G2942">
    <cfRule type="expression" dxfId="0" priority="1961">
      <formula>COUNTIF($G2942, "TRUE") = 1</formula>
    </cfRule>
    <cfRule type="expression" dxfId="1" priority="1962">
      <formula>COUNTIF($G2942, "FALSE") = 1</formula>
    </cfRule>
  </conditionalFormatting>
  <conditionalFormatting sqref="A2945:G2945">
    <cfRule type="expression" dxfId="0" priority="1963">
      <formula>COUNTIF($G2945, "TRUE") = 1</formula>
    </cfRule>
    <cfRule type="expression" dxfId="1" priority="1964">
      <formula>COUNTIF($G2945, "FALSE") = 1</formula>
    </cfRule>
  </conditionalFormatting>
  <conditionalFormatting sqref="A2948:G2948">
    <cfRule type="expression" dxfId="0" priority="1965">
      <formula>COUNTIF($G2948, "TRUE") = 1</formula>
    </cfRule>
    <cfRule type="expression" dxfId="1" priority="1966">
      <formula>COUNTIF($G2948, "FALSE") = 1</formula>
    </cfRule>
  </conditionalFormatting>
  <conditionalFormatting sqref="A2951:G2951">
    <cfRule type="expression" dxfId="0" priority="1967">
      <formula>COUNTIF($G2951, "TRUE") = 1</formula>
    </cfRule>
    <cfRule type="expression" dxfId="1" priority="1968">
      <formula>COUNTIF($G2951, "FALSE") = 1</formula>
    </cfRule>
  </conditionalFormatting>
  <conditionalFormatting sqref="A2954:G2954">
    <cfRule type="expression" dxfId="0" priority="1969">
      <formula>COUNTIF($G2954, "TRUE") = 1</formula>
    </cfRule>
    <cfRule type="expression" dxfId="1" priority="1970">
      <formula>COUNTIF($G2954, "FALSE") = 1</formula>
    </cfRule>
  </conditionalFormatting>
  <conditionalFormatting sqref="A2957:G2957">
    <cfRule type="expression" dxfId="0" priority="1971">
      <formula>COUNTIF($G2957, "TRUE") = 1</formula>
    </cfRule>
    <cfRule type="expression" dxfId="1" priority="1972">
      <formula>COUNTIF($G2957, "FALSE") = 1</formula>
    </cfRule>
  </conditionalFormatting>
  <conditionalFormatting sqref="A2960:G2960">
    <cfRule type="expression" dxfId="0" priority="1973">
      <formula>COUNTIF($G2960, "TRUE") = 1</formula>
    </cfRule>
    <cfRule type="expression" dxfId="1" priority="1974">
      <formula>COUNTIF($G2960, "FALSE") = 1</formula>
    </cfRule>
  </conditionalFormatting>
  <conditionalFormatting sqref="A2963:G2963">
    <cfRule type="expression" dxfId="0" priority="1975">
      <formula>COUNTIF($G2963, "TRUE") = 1</formula>
    </cfRule>
    <cfRule type="expression" dxfId="1" priority="1976">
      <formula>COUNTIF($G2963, "FALSE") = 1</formula>
    </cfRule>
  </conditionalFormatting>
  <conditionalFormatting sqref="A2966:G2966">
    <cfRule type="expression" dxfId="0" priority="1977">
      <formula>COUNTIF($G2966, "TRUE") = 1</formula>
    </cfRule>
    <cfRule type="expression" dxfId="1" priority="1978">
      <formula>COUNTIF($G2966, "FALSE") = 1</formula>
    </cfRule>
  </conditionalFormatting>
  <conditionalFormatting sqref="A2969:G2969">
    <cfRule type="expression" dxfId="0" priority="1979">
      <formula>COUNTIF($G2969, "TRUE") = 1</formula>
    </cfRule>
    <cfRule type="expression" dxfId="1" priority="1980">
      <formula>COUNTIF($G2969, "FALSE") = 1</formula>
    </cfRule>
  </conditionalFormatting>
  <conditionalFormatting sqref="A296:G296">
    <cfRule type="expression" dxfId="0" priority="197">
      <formula>COUNTIF($G296, "TRUE") = 1</formula>
    </cfRule>
    <cfRule type="expression" dxfId="1" priority="198">
      <formula>COUNTIF($G296, "FALSE") = 1</formula>
    </cfRule>
  </conditionalFormatting>
  <conditionalFormatting sqref="A2972:G2972">
    <cfRule type="expression" dxfId="0" priority="1981">
      <formula>COUNTIF($G2972, "TRUE") = 1</formula>
    </cfRule>
    <cfRule type="expression" dxfId="1" priority="1982">
      <formula>COUNTIF($G2972, "FALSE") = 1</formula>
    </cfRule>
  </conditionalFormatting>
  <conditionalFormatting sqref="A2975:G2975">
    <cfRule type="expression" dxfId="0" priority="1983">
      <formula>COUNTIF($G2975, "TRUE") = 1</formula>
    </cfRule>
    <cfRule type="expression" dxfId="1" priority="1984">
      <formula>COUNTIF($G2975, "FALSE") = 1</formula>
    </cfRule>
  </conditionalFormatting>
  <conditionalFormatting sqref="A2978:G2978">
    <cfRule type="expression" dxfId="0" priority="1985">
      <formula>COUNTIF($G2978, "TRUE") = 1</formula>
    </cfRule>
    <cfRule type="expression" dxfId="1" priority="1986">
      <formula>COUNTIF($G2978, "FALSE") = 1</formula>
    </cfRule>
  </conditionalFormatting>
  <conditionalFormatting sqref="A2981:G2981">
    <cfRule type="expression" dxfId="0" priority="1987">
      <formula>COUNTIF($G2981, "TRUE") = 1</formula>
    </cfRule>
    <cfRule type="expression" dxfId="1" priority="1988">
      <formula>COUNTIF($G2981, "FALSE") = 1</formula>
    </cfRule>
  </conditionalFormatting>
  <conditionalFormatting sqref="A2984:G2984">
    <cfRule type="expression" dxfId="0" priority="1989">
      <formula>COUNTIF($G2984, "TRUE") = 1</formula>
    </cfRule>
    <cfRule type="expression" dxfId="1" priority="1990">
      <formula>COUNTIF($G2984, "FALSE") = 1</formula>
    </cfRule>
  </conditionalFormatting>
  <conditionalFormatting sqref="A2987:G2987">
    <cfRule type="expression" dxfId="0" priority="1991">
      <formula>COUNTIF($G2987, "TRUE") = 1</formula>
    </cfRule>
    <cfRule type="expression" dxfId="1" priority="1992">
      <formula>COUNTIF($G2987, "FALSE") = 1</formula>
    </cfRule>
  </conditionalFormatting>
  <conditionalFormatting sqref="A2990:G2990">
    <cfRule type="expression" dxfId="0" priority="1993">
      <formula>COUNTIF($G2990, "TRUE") = 1</formula>
    </cfRule>
    <cfRule type="expression" dxfId="1" priority="1994">
      <formula>COUNTIF($G2990, "FALSE") = 1</formula>
    </cfRule>
  </conditionalFormatting>
  <conditionalFormatting sqref="A2993:G2993">
    <cfRule type="expression" dxfId="0" priority="1995">
      <formula>COUNTIF($G2993, "TRUE") = 1</formula>
    </cfRule>
    <cfRule type="expression" dxfId="1" priority="1996">
      <formula>COUNTIF($G2993, "FALSE") = 1</formula>
    </cfRule>
  </conditionalFormatting>
  <conditionalFormatting sqref="A2996:G2996">
    <cfRule type="expression" dxfId="0" priority="1997">
      <formula>COUNTIF($G2996, "TRUE") = 1</formula>
    </cfRule>
    <cfRule type="expression" dxfId="1" priority="1998">
      <formula>COUNTIF($G2996, "FALSE") = 1</formula>
    </cfRule>
  </conditionalFormatting>
  <conditionalFormatting sqref="A2999:G2999">
    <cfRule type="expression" dxfId="0" priority="1999">
      <formula>COUNTIF($G2999, "TRUE") = 1</formula>
    </cfRule>
    <cfRule type="expression" dxfId="1" priority="2000">
      <formula>COUNTIF($G2999, "FALSE") = 1</formula>
    </cfRule>
  </conditionalFormatting>
  <conditionalFormatting sqref="A299:G299">
    <cfRule type="expression" dxfId="0" priority="199">
      <formula>COUNTIF($G299, "TRUE") = 1</formula>
    </cfRule>
    <cfRule type="expression" dxfId="1" priority="200">
      <formula>COUNTIF($G299, "FALSE") = 1</formula>
    </cfRule>
  </conditionalFormatting>
  <conditionalFormatting sqref="A29:G29">
    <cfRule type="expression" dxfId="0" priority="19">
      <formula>COUNTIF($G29, "TRUE") = 1</formula>
    </cfRule>
    <cfRule type="expression" dxfId="1" priority="20">
      <formula>COUNTIF($G29, "FALSE") = 1</formula>
    </cfRule>
  </conditionalFormatting>
  <conditionalFormatting sqref="A2:G2">
    <cfRule type="expression" dxfId="0" priority="1">
      <formula>COUNTIF($G2, "TRUE") = 1</formula>
    </cfRule>
    <cfRule type="expression" dxfId="1" priority="2">
      <formula>COUNTIF($G2, "FALSE") = 1</formula>
    </cfRule>
  </conditionalFormatting>
  <conditionalFormatting sqref="A3002:G3002">
    <cfRule type="expression" dxfId="0" priority="2001">
      <formula>COUNTIF($G3002, "TRUE") = 1</formula>
    </cfRule>
    <cfRule type="expression" dxfId="1" priority="2002">
      <formula>COUNTIF($G3002, "FALSE") = 1</formula>
    </cfRule>
  </conditionalFormatting>
  <conditionalFormatting sqref="A3005:G3005">
    <cfRule type="expression" dxfId="0" priority="2003">
      <formula>COUNTIF($G3005, "TRUE") = 1</formula>
    </cfRule>
    <cfRule type="expression" dxfId="1" priority="2004">
      <formula>COUNTIF($G3005, "FALSE") = 1</formula>
    </cfRule>
  </conditionalFormatting>
  <conditionalFormatting sqref="A3008:G3008">
    <cfRule type="expression" dxfId="0" priority="2005">
      <formula>COUNTIF($G3008, "TRUE") = 1</formula>
    </cfRule>
    <cfRule type="expression" dxfId="1" priority="2006">
      <formula>COUNTIF($G3008, "FALSE") = 1</formula>
    </cfRule>
  </conditionalFormatting>
  <conditionalFormatting sqref="A3011:G3011">
    <cfRule type="expression" dxfId="0" priority="2007">
      <formula>COUNTIF($G3011, "TRUE") = 1</formula>
    </cfRule>
    <cfRule type="expression" dxfId="1" priority="2008">
      <formula>COUNTIF($G3011, "FALSE") = 1</formula>
    </cfRule>
  </conditionalFormatting>
  <conditionalFormatting sqref="A3014:G3014">
    <cfRule type="expression" dxfId="0" priority="2009">
      <formula>COUNTIF($G3014, "TRUE") = 1</formula>
    </cfRule>
    <cfRule type="expression" dxfId="1" priority="2010">
      <formula>COUNTIF($G3014, "FALSE") = 1</formula>
    </cfRule>
  </conditionalFormatting>
  <conditionalFormatting sqref="A3017:G3017">
    <cfRule type="expression" dxfId="0" priority="2011">
      <formula>COUNTIF($G3017, "TRUE") = 1</formula>
    </cfRule>
    <cfRule type="expression" dxfId="1" priority="2012">
      <formula>COUNTIF($G3017, "FALSE") = 1</formula>
    </cfRule>
  </conditionalFormatting>
  <conditionalFormatting sqref="A3020:G3020">
    <cfRule type="expression" dxfId="0" priority="2013">
      <formula>COUNTIF($G3020, "TRUE") = 1</formula>
    </cfRule>
    <cfRule type="expression" dxfId="1" priority="2014">
      <formula>COUNTIF($G3020, "FALSE") = 1</formula>
    </cfRule>
  </conditionalFormatting>
  <conditionalFormatting sqref="A3023:G3023">
    <cfRule type="expression" dxfId="0" priority="2015">
      <formula>COUNTIF($G3023, "TRUE") = 1</formula>
    </cfRule>
    <cfRule type="expression" dxfId="1" priority="2016">
      <formula>COUNTIF($G3023, "FALSE") = 1</formula>
    </cfRule>
  </conditionalFormatting>
  <conditionalFormatting sqref="A3026:G3026">
    <cfRule type="expression" dxfId="0" priority="2017">
      <formula>COUNTIF($G3026, "TRUE") = 1</formula>
    </cfRule>
    <cfRule type="expression" dxfId="1" priority="2018">
      <formula>COUNTIF($G3026, "FALSE") = 1</formula>
    </cfRule>
  </conditionalFormatting>
  <conditionalFormatting sqref="A3029:G3029">
    <cfRule type="expression" dxfId="0" priority="2019">
      <formula>COUNTIF($G3029, "TRUE") = 1</formula>
    </cfRule>
    <cfRule type="expression" dxfId="1" priority="2020">
      <formula>COUNTIF($G3029, "FALSE") = 1</formula>
    </cfRule>
  </conditionalFormatting>
  <conditionalFormatting sqref="A302:G302">
    <cfRule type="expression" dxfId="0" priority="201">
      <formula>COUNTIF($G302, "TRUE") = 1</formula>
    </cfRule>
    <cfRule type="expression" dxfId="1" priority="202">
      <formula>COUNTIF($G302, "FALSE") = 1</formula>
    </cfRule>
  </conditionalFormatting>
  <conditionalFormatting sqref="A3032:G3032">
    <cfRule type="expression" dxfId="0" priority="2021">
      <formula>COUNTIF($G3032, "TRUE") = 1</formula>
    </cfRule>
    <cfRule type="expression" dxfId="1" priority="2022">
      <formula>COUNTIF($G3032, "FALSE") = 1</formula>
    </cfRule>
  </conditionalFormatting>
  <conditionalFormatting sqref="A3035:G3035">
    <cfRule type="expression" dxfId="0" priority="2023">
      <formula>COUNTIF($G3035, "TRUE") = 1</formula>
    </cfRule>
    <cfRule type="expression" dxfId="1" priority="2024">
      <formula>COUNTIF($G3035, "FALSE") = 1</formula>
    </cfRule>
  </conditionalFormatting>
  <conditionalFormatting sqref="A3038:G3038">
    <cfRule type="expression" dxfId="0" priority="2025">
      <formula>COUNTIF($G3038, "TRUE") = 1</formula>
    </cfRule>
    <cfRule type="expression" dxfId="1" priority="2026">
      <formula>COUNTIF($G3038, "FALSE") = 1</formula>
    </cfRule>
  </conditionalFormatting>
  <conditionalFormatting sqref="A3041:G3041">
    <cfRule type="expression" dxfId="0" priority="2027">
      <formula>COUNTIF($G3041, "TRUE") = 1</formula>
    </cfRule>
    <cfRule type="expression" dxfId="1" priority="2028">
      <formula>COUNTIF($G3041, "FALSE") = 1</formula>
    </cfRule>
  </conditionalFormatting>
  <conditionalFormatting sqref="A3044:G3044">
    <cfRule type="expression" dxfId="0" priority="2029">
      <formula>COUNTIF($G3044, "TRUE") = 1</formula>
    </cfRule>
    <cfRule type="expression" dxfId="1" priority="2030">
      <formula>COUNTIF($G3044, "FALSE") = 1</formula>
    </cfRule>
  </conditionalFormatting>
  <conditionalFormatting sqref="A3047:G3047">
    <cfRule type="expression" dxfId="0" priority="2031">
      <formula>COUNTIF($G3047, "TRUE") = 1</formula>
    </cfRule>
    <cfRule type="expression" dxfId="1" priority="2032">
      <formula>COUNTIF($G3047, "FALSE") = 1</formula>
    </cfRule>
  </conditionalFormatting>
  <conditionalFormatting sqref="A3050:G3050">
    <cfRule type="expression" dxfId="0" priority="2033">
      <formula>COUNTIF($G3050, "TRUE") = 1</formula>
    </cfRule>
    <cfRule type="expression" dxfId="1" priority="2034">
      <formula>COUNTIF($G3050, "FALSE") = 1</formula>
    </cfRule>
  </conditionalFormatting>
  <conditionalFormatting sqref="A3053:G3053">
    <cfRule type="expression" dxfId="0" priority="2035">
      <formula>COUNTIF($G3053, "TRUE") = 1</formula>
    </cfRule>
    <cfRule type="expression" dxfId="1" priority="2036">
      <formula>COUNTIF($G3053, "FALSE") = 1</formula>
    </cfRule>
  </conditionalFormatting>
  <conditionalFormatting sqref="A3056:G3056">
    <cfRule type="expression" dxfId="0" priority="2037">
      <formula>COUNTIF($G3056, "TRUE") = 1</formula>
    </cfRule>
    <cfRule type="expression" dxfId="1" priority="2038">
      <formula>COUNTIF($G3056, "FALSE") = 1</formula>
    </cfRule>
  </conditionalFormatting>
  <conditionalFormatting sqref="A3059:G3059">
    <cfRule type="expression" dxfId="0" priority="2039">
      <formula>COUNTIF($G3059, "TRUE") = 1</formula>
    </cfRule>
    <cfRule type="expression" dxfId="1" priority="2040">
      <formula>COUNTIF($G3059, "FALSE") = 1</formula>
    </cfRule>
  </conditionalFormatting>
  <conditionalFormatting sqref="A305:G305">
    <cfRule type="expression" dxfId="0" priority="203">
      <formula>COUNTIF($G305, "TRUE") = 1</formula>
    </cfRule>
    <cfRule type="expression" dxfId="1" priority="204">
      <formula>COUNTIF($G305, "FALSE") = 1</formula>
    </cfRule>
  </conditionalFormatting>
  <conditionalFormatting sqref="A3062:G3062">
    <cfRule type="expression" dxfId="0" priority="2041">
      <formula>COUNTIF($G3062, "TRUE") = 1</formula>
    </cfRule>
    <cfRule type="expression" dxfId="1" priority="2042">
      <formula>COUNTIF($G3062, "FALSE") = 1</formula>
    </cfRule>
  </conditionalFormatting>
  <conditionalFormatting sqref="A3065:G3065">
    <cfRule type="expression" dxfId="0" priority="2043">
      <formula>COUNTIF($G3065, "TRUE") = 1</formula>
    </cfRule>
    <cfRule type="expression" dxfId="1" priority="2044">
      <formula>COUNTIF($G3065, "FALSE") = 1</formula>
    </cfRule>
  </conditionalFormatting>
  <conditionalFormatting sqref="A3068:G3068">
    <cfRule type="expression" dxfId="0" priority="2045">
      <formula>COUNTIF($G3068, "TRUE") = 1</formula>
    </cfRule>
    <cfRule type="expression" dxfId="1" priority="2046">
      <formula>COUNTIF($G3068, "FALSE") = 1</formula>
    </cfRule>
  </conditionalFormatting>
  <conditionalFormatting sqref="A3071:G3071">
    <cfRule type="expression" dxfId="0" priority="2047">
      <formula>COUNTIF($G3071, "TRUE") = 1</formula>
    </cfRule>
    <cfRule type="expression" dxfId="1" priority="2048">
      <formula>COUNTIF($G3071, "FALSE") = 1</formula>
    </cfRule>
  </conditionalFormatting>
  <conditionalFormatting sqref="A3074:G3074">
    <cfRule type="expression" dxfId="0" priority="2049">
      <formula>COUNTIF($G3074, "TRUE") = 1</formula>
    </cfRule>
    <cfRule type="expression" dxfId="1" priority="2050">
      <formula>COUNTIF($G3074, "FALSE") = 1</formula>
    </cfRule>
  </conditionalFormatting>
  <conditionalFormatting sqref="A308:G308">
    <cfRule type="expression" dxfId="0" priority="205">
      <formula>COUNTIF($G308, "TRUE") = 1</formula>
    </cfRule>
    <cfRule type="expression" dxfId="1" priority="206">
      <formula>COUNTIF($G308, "FALSE") = 1</formula>
    </cfRule>
  </conditionalFormatting>
  <conditionalFormatting sqref="A311:G311">
    <cfRule type="expression" dxfId="0" priority="207">
      <formula>COUNTIF($G311, "TRUE") = 1</formula>
    </cfRule>
    <cfRule type="expression" dxfId="1" priority="208">
      <formula>COUNTIF($G311, "FALSE") = 1</formula>
    </cfRule>
  </conditionalFormatting>
  <conditionalFormatting sqref="A314:G314">
    <cfRule type="expression" dxfId="0" priority="209">
      <formula>COUNTIF($G314, "TRUE") = 1</formula>
    </cfRule>
    <cfRule type="expression" dxfId="1" priority="210">
      <formula>COUNTIF($G314, "FALSE") = 1</formula>
    </cfRule>
  </conditionalFormatting>
  <conditionalFormatting sqref="A317:G317">
    <cfRule type="expression" dxfId="0" priority="211">
      <formula>COUNTIF($G317, "TRUE") = 1</formula>
    </cfRule>
    <cfRule type="expression" dxfId="1" priority="212">
      <formula>COUNTIF($G317, "FALSE") = 1</formula>
    </cfRule>
  </conditionalFormatting>
  <conditionalFormatting sqref="A320:G320">
    <cfRule type="expression" dxfId="0" priority="213">
      <formula>COUNTIF($G320, "TRUE") = 1</formula>
    </cfRule>
    <cfRule type="expression" dxfId="1" priority="214">
      <formula>COUNTIF($G320, "FALSE") = 1</formula>
    </cfRule>
  </conditionalFormatting>
  <conditionalFormatting sqref="A323:G323">
    <cfRule type="expression" dxfId="0" priority="215">
      <formula>COUNTIF($G323, "TRUE") = 1</formula>
    </cfRule>
    <cfRule type="expression" dxfId="1" priority="216">
      <formula>COUNTIF($G323, "FALSE") = 1</formula>
    </cfRule>
  </conditionalFormatting>
  <conditionalFormatting sqref="A326:G326">
    <cfRule type="expression" dxfId="0" priority="217">
      <formula>COUNTIF($G326, "TRUE") = 1</formula>
    </cfRule>
    <cfRule type="expression" dxfId="1" priority="218">
      <formula>COUNTIF($G326, "FALSE") = 1</formula>
    </cfRule>
  </conditionalFormatting>
  <conditionalFormatting sqref="A329:G329">
    <cfRule type="expression" dxfId="0" priority="219">
      <formula>COUNTIF($G329, "TRUE") = 1</formula>
    </cfRule>
    <cfRule type="expression" dxfId="1" priority="220">
      <formula>COUNTIF($G329, "FALSE") = 1</formula>
    </cfRule>
  </conditionalFormatting>
  <conditionalFormatting sqref="A32:G32">
    <cfRule type="expression" dxfId="0" priority="21">
      <formula>COUNTIF($G32, "TRUE") = 1</formula>
    </cfRule>
    <cfRule type="expression" dxfId="1" priority="22">
      <formula>COUNTIF($G32, "FALSE") = 1</formula>
    </cfRule>
  </conditionalFormatting>
  <conditionalFormatting sqref="A332:G332">
    <cfRule type="expression" dxfId="0" priority="221">
      <formula>COUNTIF($G332, "TRUE") = 1</formula>
    </cfRule>
    <cfRule type="expression" dxfId="1" priority="222">
      <formula>COUNTIF($G332, "FALSE") = 1</formula>
    </cfRule>
  </conditionalFormatting>
  <conditionalFormatting sqref="A335:G335">
    <cfRule type="expression" dxfId="0" priority="223">
      <formula>COUNTIF($G335, "TRUE") = 1</formula>
    </cfRule>
    <cfRule type="expression" dxfId="1" priority="224">
      <formula>COUNTIF($G335, "FALSE") = 1</formula>
    </cfRule>
  </conditionalFormatting>
  <conditionalFormatting sqref="A338:G338">
    <cfRule type="expression" dxfId="0" priority="225">
      <formula>COUNTIF($G338, "TRUE") = 1</formula>
    </cfRule>
    <cfRule type="expression" dxfId="1" priority="226">
      <formula>COUNTIF($G338, "FALSE") = 1</formula>
    </cfRule>
  </conditionalFormatting>
  <conditionalFormatting sqref="A341:G341">
    <cfRule type="expression" dxfId="0" priority="227">
      <formula>COUNTIF($G341, "TRUE") = 1</formula>
    </cfRule>
    <cfRule type="expression" dxfId="1" priority="228">
      <formula>COUNTIF($G341, "FALSE") = 1</formula>
    </cfRule>
  </conditionalFormatting>
  <conditionalFormatting sqref="A344:G344">
    <cfRule type="expression" dxfId="0" priority="229">
      <formula>COUNTIF($G344, "TRUE") = 1</formula>
    </cfRule>
    <cfRule type="expression" dxfId="1" priority="230">
      <formula>COUNTIF($G344, "FALSE") = 1</formula>
    </cfRule>
  </conditionalFormatting>
  <conditionalFormatting sqref="A347:G347">
    <cfRule type="expression" dxfId="0" priority="231">
      <formula>COUNTIF($G347, "TRUE") = 1</formula>
    </cfRule>
    <cfRule type="expression" dxfId="1" priority="232">
      <formula>COUNTIF($G347, "FALSE") = 1</formula>
    </cfRule>
  </conditionalFormatting>
  <conditionalFormatting sqref="A350:G350">
    <cfRule type="expression" dxfId="0" priority="233">
      <formula>COUNTIF($G350, "TRUE") = 1</formula>
    </cfRule>
    <cfRule type="expression" dxfId="1" priority="234">
      <formula>COUNTIF($G350, "FALSE") = 1</formula>
    </cfRule>
  </conditionalFormatting>
  <conditionalFormatting sqref="A353:G353">
    <cfRule type="expression" dxfId="0" priority="235">
      <formula>COUNTIF($G353, "TRUE") = 1</formula>
    </cfRule>
    <cfRule type="expression" dxfId="1" priority="236">
      <formula>COUNTIF($G353, "FALSE") = 1</formula>
    </cfRule>
  </conditionalFormatting>
  <conditionalFormatting sqref="A356:G356">
    <cfRule type="expression" dxfId="0" priority="237">
      <formula>COUNTIF($G356, "TRUE") = 1</formula>
    </cfRule>
    <cfRule type="expression" dxfId="1" priority="238">
      <formula>COUNTIF($G356, "FALSE") = 1</formula>
    </cfRule>
  </conditionalFormatting>
  <conditionalFormatting sqref="A359:G359">
    <cfRule type="expression" dxfId="0" priority="239">
      <formula>COUNTIF($G359, "TRUE") = 1</formula>
    </cfRule>
    <cfRule type="expression" dxfId="1" priority="240">
      <formula>COUNTIF($G359, "FALSE") = 1</formula>
    </cfRule>
  </conditionalFormatting>
  <conditionalFormatting sqref="A35:G35">
    <cfRule type="expression" dxfId="0" priority="23">
      <formula>COUNTIF($G35, "TRUE") = 1</formula>
    </cfRule>
    <cfRule type="expression" dxfId="1" priority="24">
      <formula>COUNTIF($G35, "FALSE") = 1</formula>
    </cfRule>
  </conditionalFormatting>
  <conditionalFormatting sqref="A362:G362">
    <cfRule type="expression" dxfId="0" priority="241">
      <formula>COUNTIF($G362, "TRUE") = 1</formula>
    </cfRule>
    <cfRule type="expression" dxfId="1" priority="242">
      <formula>COUNTIF($G362, "FALSE") = 1</formula>
    </cfRule>
  </conditionalFormatting>
  <conditionalFormatting sqref="A365:G365">
    <cfRule type="expression" dxfId="0" priority="243">
      <formula>COUNTIF($G365, "TRUE") = 1</formula>
    </cfRule>
    <cfRule type="expression" dxfId="1" priority="244">
      <formula>COUNTIF($G365, "FALSE") = 1</formula>
    </cfRule>
  </conditionalFormatting>
  <conditionalFormatting sqref="A368:G368">
    <cfRule type="expression" dxfId="0" priority="245">
      <formula>COUNTIF($G368, "TRUE") = 1</formula>
    </cfRule>
    <cfRule type="expression" dxfId="1" priority="246">
      <formula>COUNTIF($G368, "FALSE") = 1</formula>
    </cfRule>
  </conditionalFormatting>
  <conditionalFormatting sqref="A371:G371">
    <cfRule type="expression" dxfId="0" priority="247">
      <formula>COUNTIF($G371, "TRUE") = 1</formula>
    </cfRule>
    <cfRule type="expression" dxfId="1" priority="248">
      <formula>COUNTIF($G371, "FALSE") = 1</formula>
    </cfRule>
  </conditionalFormatting>
  <conditionalFormatting sqref="A374:G374">
    <cfRule type="expression" dxfId="0" priority="249">
      <formula>COUNTIF($G374, "TRUE") = 1</formula>
    </cfRule>
    <cfRule type="expression" dxfId="1" priority="250">
      <formula>COUNTIF($G374, "FALSE") = 1</formula>
    </cfRule>
  </conditionalFormatting>
  <conditionalFormatting sqref="A377:G377">
    <cfRule type="expression" dxfId="0" priority="251">
      <formula>COUNTIF($G377, "TRUE") = 1</formula>
    </cfRule>
    <cfRule type="expression" dxfId="1" priority="252">
      <formula>COUNTIF($G377, "FALSE") = 1</formula>
    </cfRule>
  </conditionalFormatting>
  <conditionalFormatting sqref="A380:G380">
    <cfRule type="expression" dxfId="0" priority="253">
      <formula>COUNTIF($G380, "TRUE") = 1</formula>
    </cfRule>
    <cfRule type="expression" dxfId="1" priority="254">
      <formula>COUNTIF($G380, "FALSE") = 1</formula>
    </cfRule>
  </conditionalFormatting>
  <conditionalFormatting sqref="A383:G383">
    <cfRule type="expression" dxfId="0" priority="255">
      <formula>COUNTIF($G383, "TRUE") = 1</formula>
    </cfRule>
    <cfRule type="expression" dxfId="1" priority="256">
      <formula>COUNTIF($G383, "FALSE") = 1</formula>
    </cfRule>
  </conditionalFormatting>
  <conditionalFormatting sqref="A386:G386">
    <cfRule type="expression" dxfId="0" priority="257">
      <formula>COUNTIF($G386, "TRUE") = 1</formula>
    </cfRule>
    <cfRule type="expression" dxfId="1" priority="258">
      <formula>COUNTIF($G386, "FALSE") = 1</formula>
    </cfRule>
  </conditionalFormatting>
  <conditionalFormatting sqref="A389:G389">
    <cfRule type="expression" dxfId="0" priority="259">
      <formula>COUNTIF($G389, "TRUE") = 1</formula>
    </cfRule>
    <cfRule type="expression" dxfId="1" priority="260">
      <formula>COUNTIF($G389, "FALSE") = 1</formula>
    </cfRule>
  </conditionalFormatting>
  <conditionalFormatting sqref="A38:G38">
    <cfRule type="expression" dxfId="0" priority="25">
      <formula>COUNTIF($G38, "TRUE") = 1</formula>
    </cfRule>
    <cfRule type="expression" dxfId="1" priority="26">
      <formula>COUNTIF($G38, "FALSE") = 1</formula>
    </cfRule>
  </conditionalFormatting>
  <conditionalFormatting sqref="A392:G392">
    <cfRule type="expression" dxfId="0" priority="261">
      <formula>COUNTIF($G392, "TRUE") = 1</formula>
    </cfRule>
    <cfRule type="expression" dxfId="1" priority="262">
      <formula>COUNTIF($G392, "FALSE") = 1</formula>
    </cfRule>
  </conditionalFormatting>
  <conditionalFormatting sqref="A395:G395">
    <cfRule type="expression" dxfId="0" priority="263">
      <formula>COUNTIF($G395, "TRUE") = 1</formula>
    </cfRule>
    <cfRule type="expression" dxfId="1" priority="264">
      <formula>COUNTIF($G395, "FALSE") = 1</formula>
    </cfRule>
  </conditionalFormatting>
  <conditionalFormatting sqref="A398:G398">
    <cfRule type="expression" dxfId="0" priority="265">
      <formula>COUNTIF($G398, "TRUE") = 1</formula>
    </cfRule>
    <cfRule type="expression" dxfId="1" priority="266">
      <formula>COUNTIF($G398, "FALSE") = 1</formula>
    </cfRule>
  </conditionalFormatting>
  <conditionalFormatting sqref="A401:G401">
    <cfRule type="expression" dxfId="0" priority="267">
      <formula>COUNTIF($G401, "TRUE") = 1</formula>
    </cfRule>
    <cfRule type="expression" dxfId="1" priority="268">
      <formula>COUNTIF($G401, "FALSE") = 1</formula>
    </cfRule>
  </conditionalFormatting>
  <conditionalFormatting sqref="A404:G404">
    <cfRule type="expression" dxfId="0" priority="269">
      <formula>COUNTIF($G404, "TRUE") = 1</formula>
    </cfRule>
    <cfRule type="expression" dxfId="1" priority="270">
      <formula>COUNTIF($G404, "FALSE") = 1</formula>
    </cfRule>
  </conditionalFormatting>
  <conditionalFormatting sqref="A407:G407">
    <cfRule type="expression" dxfId="0" priority="271">
      <formula>COUNTIF($G407, "TRUE") = 1</formula>
    </cfRule>
    <cfRule type="expression" dxfId="1" priority="272">
      <formula>COUNTIF($G407, "FALSE") = 1</formula>
    </cfRule>
  </conditionalFormatting>
  <conditionalFormatting sqref="A410:G410">
    <cfRule type="expression" dxfId="0" priority="273">
      <formula>COUNTIF($G410, "TRUE") = 1</formula>
    </cfRule>
    <cfRule type="expression" dxfId="1" priority="274">
      <formula>COUNTIF($G410, "FALSE") = 1</formula>
    </cfRule>
  </conditionalFormatting>
  <conditionalFormatting sqref="A413:G413">
    <cfRule type="expression" dxfId="0" priority="275">
      <formula>COUNTIF($G413, "TRUE") = 1</formula>
    </cfRule>
    <cfRule type="expression" dxfId="1" priority="276">
      <formula>COUNTIF($G413, "FALSE") = 1</formula>
    </cfRule>
  </conditionalFormatting>
  <conditionalFormatting sqref="A416:G416">
    <cfRule type="expression" dxfId="0" priority="277">
      <formula>COUNTIF($G416, "TRUE") = 1</formula>
    </cfRule>
    <cfRule type="expression" dxfId="1" priority="278">
      <formula>COUNTIF($G416, "FALSE") = 1</formula>
    </cfRule>
  </conditionalFormatting>
  <conditionalFormatting sqref="A419:G419">
    <cfRule type="expression" dxfId="0" priority="279">
      <formula>COUNTIF($G419, "TRUE") = 1</formula>
    </cfRule>
    <cfRule type="expression" dxfId="1" priority="280">
      <formula>COUNTIF($G419, "FALSE") = 1</formula>
    </cfRule>
  </conditionalFormatting>
  <conditionalFormatting sqref="A41:G41">
    <cfRule type="expression" dxfId="0" priority="27">
      <formula>COUNTIF($G41, "TRUE") = 1</formula>
    </cfRule>
    <cfRule type="expression" dxfId="1" priority="28">
      <formula>COUNTIF($G41, "FALSE") = 1</formula>
    </cfRule>
  </conditionalFormatting>
  <conditionalFormatting sqref="A422:G422">
    <cfRule type="expression" dxfId="0" priority="281">
      <formula>COUNTIF($G422, "TRUE") = 1</formula>
    </cfRule>
    <cfRule type="expression" dxfId="1" priority="282">
      <formula>COUNTIF($G422, "FALSE") = 1</formula>
    </cfRule>
  </conditionalFormatting>
  <conditionalFormatting sqref="A425:G425">
    <cfRule type="expression" dxfId="0" priority="283">
      <formula>COUNTIF($G425, "TRUE") = 1</formula>
    </cfRule>
    <cfRule type="expression" dxfId="1" priority="284">
      <formula>COUNTIF($G425, "FALSE") = 1</formula>
    </cfRule>
  </conditionalFormatting>
  <conditionalFormatting sqref="A428:G428">
    <cfRule type="expression" dxfId="0" priority="285">
      <formula>COUNTIF($G428, "TRUE") = 1</formula>
    </cfRule>
    <cfRule type="expression" dxfId="1" priority="286">
      <formula>COUNTIF($G428, "FALSE") = 1</formula>
    </cfRule>
  </conditionalFormatting>
  <conditionalFormatting sqref="A431:G431">
    <cfRule type="expression" dxfId="0" priority="287">
      <formula>COUNTIF($G431, "TRUE") = 1</formula>
    </cfRule>
    <cfRule type="expression" dxfId="1" priority="288">
      <formula>COUNTIF($G431, "FALSE") = 1</formula>
    </cfRule>
  </conditionalFormatting>
  <conditionalFormatting sqref="A434:G434">
    <cfRule type="expression" dxfId="0" priority="289">
      <formula>COUNTIF($G434, "TRUE") = 1</formula>
    </cfRule>
    <cfRule type="expression" dxfId="1" priority="290">
      <formula>COUNTIF($G434, "FALSE") = 1</formula>
    </cfRule>
  </conditionalFormatting>
  <conditionalFormatting sqref="A437:G437">
    <cfRule type="expression" dxfId="0" priority="291">
      <formula>COUNTIF($G437, "TRUE") = 1</formula>
    </cfRule>
    <cfRule type="expression" dxfId="1" priority="292">
      <formula>COUNTIF($G437, "FALSE") = 1</formula>
    </cfRule>
  </conditionalFormatting>
  <conditionalFormatting sqref="A440:G440">
    <cfRule type="expression" dxfId="0" priority="293">
      <formula>COUNTIF($G440, "TRUE") = 1</formula>
    </cfRule>
    <cfRule type="expression" dxfId="1" priority="294">
      <formula>COUNTIF($G440, "FALSE") = 1</formula>
    </cfRule>
  </conditionalFormatting>
  <conditionalFormatting sqref="A443:G443">
    <cfRule type="expression" dxfId="0" priority="295">
      <formula>COUNTIF($G443, "TRUE") = 1</formula>
    </cfRule>
    <cfRule type="expression" dxfId="1" priority="296">
      <formula>COUNTIF($G443, "FALSE") = 1</formula>
    </cfRule>
  </conditionalFormatting>
  <conditionalFormatting sqref="A446:G446">
    <cfRule type="expression" dxfId="0" priority="297">
      <formula>COUNTIF($G446, "TRUE") = 1</formula>
    </cfRule>
    <cfRule type="expression" dxfId="1" priority="298">
      <formula>COUNTIF($G446, "FALSE") = 1</formula>
    </cfRule>
  </conditionalFormatting>
  <conditionalFormatting sqref="A449:G449">
    <cfRule type="expression" dxfId="0" priority="299">
      <formula>COUNTIF($G449, "TRUE") = 1</formula>
    </cfRule>
    <cfRule type="expression" dxfId="1" priority="300">
      <formula>COUNTIF($G449, "FALSE") = 1</formula>
    </cfRule>
  </conditionalFormatting>
  <conditionalFormatting sqref="A44:G44">
    <cfRule type="expression" dxfId="0" priority="29">
      <formula>COUNTIF($G44, "TRUE") = 1</formula>
    </cfRule>
    <cfRule type="expression" dxfId="1" priority="30">
      <formula>COUNTIF($G44, "FALSE") = 1</formula>
    </cfRule>
  </conditionalFormatting>
  <conditionalFormatting sqref="A452:G452">
    <cfRule type="expression" dxfId="0" priority="301">
      <formula>COUNTIF($G452, "TRUE") = 1</formula>
    </cfRule>
    <cfRule type="expression" dxfId="1" priority="302">
      <formula>COUNTIF($G452, "FALSE") = 1</formula>
    </cfRule>
  </conditionalFormatting>
  <conditionalFormatting sqref="A455:G455">
    <cfRule type="expression" dxfId="0" priority="303">
      <formula>COUNTIF($G455, "TRUE") = 1</formula>
    </cfRule>
    <cfRule type="expression" dxfId="1" priority="304">
      <formula>COUNTIF($G455, "FALSE") = 1</formula>
    </cfRule>
  </conditionalFormatting>
  <conditionalFormatting sqref="A458:G458">
    <cfRule type="expression" dxfId="0" priority="305">
      <formula>COUNTIF($G458, "TRUE") = 1</formula>
    </cfRule>
    <cfRule type="expression" dxfId="1" priority="306">
      <formula>COUNTIF($G458, "FALSE") = 1</formula>
    </cfRule>
  </conditionalFormatting>
  <conditionalFormatting sqref="A461:G461">
    <cfRule type="expression" dxfId="0" priority="307">
      <formula>COUNTIF($G461, "TRUE") = 1</formula>
    </cfRule>
    <cfRule type="expression" dxfId="1" priority="308">
      <formula>COUNTIF($G461, "FALSE") = 1</formula>
    </cfRule>
  </conditionalFormatting>
  <conditionalFormatting sqref="A464:G464">
    <cfRule type="expression" dxfId="0" priority="309">
      <formula>COUNTIF($G464, "TRUE") = 1</formula>
    </cfRule>
    <cfRule type="expression" dxfId="1" priority="310">
      <formula>COUNTIF($G464, "FALSE") = 1</formula>
    </cfRule>
  </conditionalFormatting>
  <conditionalFormatting sqref="A467:G467">
    <cfRule type="expression" dxfId="0" priority="311">
      <formula>COUNTIF($G467, "TRUE") = 1</formula>
    </cfRule>
    <cfRule type="expression" dxfId="1" priority="312">
      <formula>COUNTIF($G467, "FALSE") = 1</formula>
    </cfRule>
  </conditionalFormatting>
  <conditionalFormatting sqref="A470:G470">
    <cfRule type="expression" dxfId="0" priority="313">
      <formula>COUNTIF($G470, "TRUE") = 1</formula>
    </cfRule>
    <cfRule type="expression" dxfId="1" priority="314">
      <formula>COUNTIF($G470, "FALSE") = 1</formula>
    </cfRule>
  </conditionalFormatting>
  <conditionalFormatting sqref="A473:G473">
    <cfRule type="expression" dxfId="0" priority="315">
      <formula>COUNTIF($G473, "TRUE") = 1</formula>
    </cfRule>
    <cfRule type="expression" dxfId="1" priority="316">
      <formula>COUNTIF($G473, "FALSE") = 1</formula>
    </cfRule>
  </conditionalFormatting>
  <conditionalFormatting sqref="A476:G476">
    <cfRule type="expression" dxfId="0" priority="317">
      <formula>COUNTIF($G476, "TRUE") = 1</formula>
    </cfRule>
    <cfRule type="expression" dxfId="1" priority="318">
      <formula>COUNTIF($G476, "FALSE") = 1</formula>
    </cfRule>
  </conditionalFormatting>
  <conditionalFormatting sqref="A479:G479">
    <cfRule type="expression" dxfId="0" priority="319">
      <formula>COUNTIF($G479, "TRUE") = 1</formula>
    </cfRule>
    <cfRule type="expression" dxfId="1" priority="320">
      <formula>COUNTIF($G479, "FALSE") = 1</formula>
    </cfRule>
  </conditionalFormatting>
  <conditionalFormatting sqref="A47:G47">
    <cfRule type="expression" dxfId="0" priority="31">
      <formula>COUNTIF($G47, "TRUE") = 1</formula>
    </cfRule>
    <cfRule type="expression" dxfId="1" priority="32">
      <formula>COUNTIF($G47, "FALSE") = 1</formula>
    </cfRule>
  </conditionalFormatting>
  <conditionalFormatting sqref="A482:G482">
    <cfRule type="expression" dxfId="0" priority="321">
      <formula>COUNTIF($G482, "TRUE") = 1</formula>
    </cfRule>
    <cfRule type="expression" dxfId="1" priority="322">
      <formula>COUNTIF($G482, "FALSE") = 1</formula>
    </cfRule>
  </conditionalFormatting>
  <conditionalFormatting sqref="A485:G485">
    <cfRule type="expression" dxfId="0" priority="323">
      <formula>COUNTIF($G485, "TRUE") = 1</formula>
    </cfRule>
    <cfRule type="expression" dxfId="1" priority="324">
      <formula>COUNTIF($G485, "FALSE") = 1</formula>
    </cfRule>
  </conditionalFormatting>
  <conditionalFormatting sqref="A488:G488">
    <cfRule type="expression" dxfId="0" priority="325">
      <formula>COUNTIF($G488, "TRUE") = 1</formula>
    </cfRule>
    <cfRule type="expression" dxfId="1" priority="326">
      <formula>COUNTIF($G488, "FALSE") = 1</formula>
    </cfRule>
  </conditionalFormatting>
  <conditionalFormatting sqref="A491:G491">
    <cfRule type="expression" dxfId="0" priority="327">
      <formula>COUNTIF($G491, "TRUE") = 1</formula>
    </cfRule>
    <cfRule type="expression" dxfId="1" priority="328">
      <formula>COUNTIF($G491, "FALSE") = 1</formula>
    </cfRule>
  </conditionalFormatting>
  <conditionalFormatting sqref="A494:G494">
    <cfRule type="expression" dxfId="0" priority="329">
      <formula>COUNTIF($G494, "TRUE") = 1</formula>
    </cfRule>
    <cfRule type="expression" dxfId="1" priority="330">
      <formula>COUNTIF($G494, "FALSE") = 1</formula>
    </cfRule>
  </conditionalFormatting>
  <conditionalFormatting sqref="A497:G497">
    <cfRule type="expression" dxfId="0" priority="331">
      <formula>COUNTIF($G497, "TRUE") = 1</formula>
    </cfRule>
    <cfRule type="expression" dxfId="1" priority="332">
      <formula>COUNTIF($G497, "FALSE") = 1</formula>
    </cfRule>
  </conditionalFormatting>
  <conditionalFormatting sqref="A500:G500">
    <cfRule type="expression" dxfId="0" priority="333">
      <formula>COUNTIF($G500, "TRUE") = 1</formula>
    </cfRule>
    <cfRule type="expression" dxfId="1" priority="334">
      <formula>COUNTIF($G500, "FALSE") = 1</formula>
    </cfRule>
  </conditionalFormatting>
  <conditionalFormatting sqref="A503:G503">
    <cfRule type="expression" dxfId="0" priority="335">
      <formula>COUNTIF($G503, "TRUE") = 1</formula>
    </cfRule>
    <cfRule type="expression" dxfId="1" priority="336">
      <formula>COUNTIF($G503, "FALSE") = 1</formula>
    </cfRule>
  </conditionalFormatting>
  <conditionalFormatting sqref="A506:G506">
    <cfRule type="expression" dxfId="0" priority="337">
      <formula>COUNTIF($G506, "TRUE") = 1</formula>
    </cfRule>
    <cfRule type="expression" dxfId="1" priority="338">
      <formula>COUNTIF($G506, "FALSE") = 1</formula>
    </cfRule>
  </conditionalFormatting>
  <conditionalFormatting sqref="A509:G509">
    <cfRule type="expression" dxfId="0" priority="339">
      <formula>COUNTIF($G509, "TRUE") = 1</formula>
    </cfRule>
    <cfRule type="expression" dxfId="1" priority="340">
      <formula>COUNTIF($G509, "FALSE") = 1</formula>
    </cfRule>
  </conditionalFormatting>
  <conditionalFormatting sqref="A50:G50">
    <cfRule type="expression" dxfId="0" priority="33">
      <formula>COUNTIF($G50, "TRUE") = 1</formula>
    </cfRule>
    <cfRule type="expression" dxfId="1" priority="34">
      <formula>COUNTIF($G50, "FALSE") = 1</formula>
    </cfRule>
  </conditionalFormatting>
  <conditionalFormatting sqref="A512:G512">
    <cfRule type="expression" dxfId="0" priority="341">
      <formula>COUNTIF($G512, "TRUE") = 1</formula>
    </cfRule>
    <cfRule type="expression" dxfId="1" priority="342">
      <formula>COUNTIF($G512, "FALSE") = 1</formula>
    </cfRule>
  </conditionalFormatting>
  <conditionalFormatting sqref="A515:G515">
    <cfRule type="expression" dxfId="0" priority="343">
      <formula>COUNTIF($G515, "TRUE") = 1</formula>
    </cfRule>
    <cfRule type="expression" dxfId="1" priority="344">
      <formula>COUNTIF($G515, "FALSE") = 1</formula>
    </cfRule>
  </conditionalFormatting>
  <conditionalFormatting sqref="A518:G518">
    <cfRule type="expression" dxfId="0" priority="345">
      <formula>COUNTIF($G518, "TRUE") = 1</formula>
    </cfRule>
    <cfRule type="expression" dxfId="1" priority="346">
      <formula>COUNTIF($G518, "FALSE") = 1</formula>
    </cfRule>
  </conditionalFormatting>
  <conditionalFormatting sqref="A521:G521">
    <cfRule type="expression" dxfId="0" priority="347">
      <formula>COUNTIF($G521, "TRUE") = 1</formula>
    </cfRule>
    <cfRule type="expression" dxfId="1" priority="348">
      <formula>COUNTIF($G521, "FALSE") = 1</formula>
    </cfRule>
  </conditionalFormatting>
  <conditionalFormatting sqref="A524:G524">
    <cfRule type="expression" dxfId="0" priority="349">
      <formula>COUNTIF($G524, "TRUE") = 1</formula>
    </cfRule>
    <cfRule type="expression" dxfId="1" priority="350">
      <formula>COUNTIF($G524, "FALSE") = 1</formula>
    </cfRule>
  </conditionalFormatting>
  <conditionalFormatting sqref="A527:G527">
    <cfRule type="expression" dxfId="0" priority="351">
      <formula>COUNTIF($G527, "TRUE") = 1</formula>
    </cfRule>
    <cfRule type="expression" dxfId="1" priority="352">
      <formula>COUNTIF($G527, "FALSE") = 1</formula>
    </cfRule>
  </conditionalFormatting>
  <conditionalFormatting sqref="A530:G530">
    <cfRule type="expression" dxfId="0" priority="353">
      <formula>COUNTIF($G530, "TRUE") = 1</formula>
    </cfRule>
    <cfRule type="expression" dxfId="1" priority="354">
      <formula>COUNTIF($G530, "FALSE") = 1</formula>
    </cfRule>
  </conditionalFormatting>
  <conditionalFormatting sqref="A533:G533">
    <cfRule type="expression" dxfId="0" priority="355">
      <formula>COUNTIF($G533, "TRUE") = 1</formula>
    </cfRule>
    <cfRule type="expression" dxfId="1" priority="356">
      <formula>COUNTIF($G533, "FALSE") = 1</formula>
    </cfRule>
  </conditionalFormatting>
  <conditionalFormatting sqref="A536:G536">
    <cfRule type="expression" dxfId="0" priority="357">
      <formula>COUNTIF($G536, "TRUE") = 1</formula>
    </cfRule>
    <cfRule type="expression" dxfId="1" priority="358">
      <formula>COUNTIF($G536, "FALSE") = 1</formula>
    </cfRule>
  </conditionalFormatting>
  <conditionalFormatting sqref="A539:G539">
    <cfRule type="expression" dxfId="0" priority="359">
      <formula>COUNTIF($G539, "TRUE") = 1</formula>
    </cfRule>
    <cfRule type="expression" dxfId="1" priority="360">
      <formula>COUNTIF($G539, "FALSE") = 1</formula>
    </cfRule>
  </conditionalFormatting>
  <conditionalFormatting sqref="A53:G53">
    <cfRule type="expression" dxfId="0" priority="35">
      <formula>COUNTIF($G53, "TRUE") = 1</formula>
    </cfRule>
    <cfRule type="expression" dxfId="1" priority="36">
      <formula>COUNTIF($G53, "FALSE") = 1</formula>
    </cfRule>
  </conditionalFormatting>
  <conditionalFormatting sqref="A542:G542">
    <cfRule type="expression" dxfId="0" priority="361">
      <formula>COUNTIF($G542, "TRUE") = 1</formula>
    </cfRule>
    <cfRule type="expression" dxfId="1" priority="362">
      <formula>COUNTIF($G542, "FALSE") = 1</formula>
    </cfRule>
  </conditionalFormatting>
  <conditionalFormatting sqref="A545:G545">
    <cfRule type="expression" dxfId="0" priority="363">
      <formula>COUNTIF($G545, "TRUE") = 1</formula>
    </cfRule>
    <cfRule type="expression" dxfId="1" priority="364">
      <formula>COUNTIF($G545, "FALSE") = 1</formula>
    </cfRule>
  </conditionalFormatting>
  <conditionalFormatting sqref="A548:G548">
    <cfRule type="expression" dxfId="0" priority="365">
      <formula>COUNTIF($G548, "TRUE") = 1</formula>
    </cfRule>
    <cfRule type="expression" dxfId="1" priority="366">
      <formula>COUNTIF($G548, "FALSE") = 1</formula>
    </cfRule>
  </conditionalFormatting>
  <conditionalFormatting sqref="A551:G551">
    <cfRule type="expression" dxfId="0" priority="367">
      <formula>COUNTIF($G551, "TRUE") = 1</formula>
    </cfRule>
    <cfRule type="expression" dxfId="1" priority="368">
      <formula>COUNTIF($G551, "FALSE") = 1</formula>
    </cfRule>
  </conditionalFormatting>
  <conditionalFormatting sqref="A554:G554">
    <cfRule type="expression" dxfId="0" priority="369">
      <formula>COUNTIF($G554, "TRUE") = 1</formula>
    </cfRule>
    <cfRule type="expression" dxfId="1" priority="370">
      <formula>COUNTIF($G554, "FALSE") = 1</formula>
    </cfRule>
  </conditionalFormatting>
  <conditionalFormatting sqref="A557:G557">
    <cfRule type="expression" dxfId="0" priority="371">
      <formula>COUNTIF($G557, "TRUE") = 1</formula>
    </cfRule>
    <cfRule type="expression" dxfId="1" priority="372">
      <formula>COUNTIF($G557, "FALSE") = 1</formula>
    </cfRule>
  </conditionalFormatting>
  <conditionalFormatting sqref="A560:G560">
    <cfRule type="expression" dxfId="0" priority="373">
      <formula>COUNTIF($G560, "TRUE") = 1</formula>
    </cfRule>
    <cfRule type="expression" dxfId="1" priority="374">
      <formula>COUNTIF($G560, "FALSE") = 1</formula>
    </cfRule>
  </conditionalFormatting>
  <conditionalFormatting sqref="A563:G563">
    <cfRule type="expression" dxfId="0" priority="375">
      <formula>COUNTIF($G563, "TRUE") = 1</formula>
    </cfRule>
    <cfRule type="expression" dxfId="1" priority="376">
      <formula>COUNTIF($G563, "FALSE") = 1</formula>
    </cfRule>
  </conditionalFormatting>
  <conditionalFormatting sqref="A566:G566">
    <cfRule type="expression" dxfId="0" priority="377">
      <formula>COUNTIF($G566, "TRUE") = 1</formula>
    </cfRule>
    <cfRule type="expression" dxfId="1" priority="378">
      <formula>COUNTIF($G566, "FALSE") = 1</formula>
    </cfRule>
  </conditionalFormatting>
  <conditionalFormatting sqref="A569:G569">
    <cfRule type="expression" dxfId="0" priority="379">
      <formula>COUNTIF($G569, "TRUE") = 1</formula>
    </cfRule>
    <cfRule type="expression" dxfId="1" priority="380">
      <formula>COUNTIF($G569, "FALSE") = 1</formula>
    </cfRule>
  </conditionalFormatting>
  <conditionalFormatting sqref="A56:G56">
    <cfRule type="expression" dxfId="0" priority="37">
      <formula>COUNTIF($G56, "TRUE") = 1</formula>
    </cfRule>
    <cfRule type="expression" dxfId="1" priority="38">
      <formula>COUNTIF($G56, "FALSE") = 1</formula>
    </cfRule>
  </conditionalFormatting>
  <conditionalFormatting sqref="A572:G572">
    <cfRule type="expression" dxfId="0" priority="381">
      <formula>COUNTIF($G572, "TRUE") = 1</formula>
    </cfRule>
    <cfRule type="expression" dxfId="1" priority="382">
      <formula>COUNTIF($G572, "FALSE") = 1</formula>
    </cfRule>
  </conditionalFormatting>
  <conditionalFormatting sqref="A575:G575">
    <cfRule type="expression" dxfId="0" priority="383">
      <formula>COUNTIF($G575, "TRUE") = 1</formula>
    </cfRule>
    <cfRule type="expression" dxfId="1" priority="384">
      <formula>COUNTIF($G575, "FALSE") = 1</formula>
    </cfRule>
  </conditionalFormatting>
  <conditionalFormatting sqref="A578:G578">
    <cfRule type="expression" dxfId="0" priority="385">
      <formula>COUNTIF($G578, "TRUE") = 1</formula>
    </cfRule>
    <cfRule type="expression" dxfId="1" priority="386">
      <formula>COUNTIF($G578, "FALSE") = 1</formula>
    </cfRule>
  </conditionalFormatting>
  <conditionalFormatting sqref="A581:G581">
    <cfRule type="expression" dxfId="0" priority="387">
      <formula>COUNTIF($G581, "TRUE") = 1</formula>
    </cfRule>
    <cfRule type="expression" dxfId="1" priority="388">
      <formula>COUNTIF($G581, "FALSE") = 1</formula>
    </cfRule>
  </conditionalFormatting>
  <conditionalFormatting sqref="A584:G584">
    <cfRule type="expression" dxfId="0" priority="389">
      <formula>COUNTIF($G584, "TRUE") = 1</formula>
    </cfRule>
    <cfRule type="expression" dxfId="1" priority="390">
      <formula>COUNTIF($G584, "FALSE") = 1</formula>
    </cfRule>
  </conditionalFormatting>
  <conditionalFormatting sqref="A587:G587">
    <cfRule type="expression" dxfId="0" priority="391">
      <formula>COUNTIF($G587, "TRUE") = 1</formula>
    </cfRule>
    <cfRule type="expression" dxfId="1" priority="392">
      <formula>COUNTIF($G587, "FALSE") = 1</formula>
    </cfRule>
  </conditionalFormatting>
  <conditionalFormatting sqref="A590:G590">
    <cfRule type="expression" dxfId="0" priority="393">
      <formula>COUNTIF($G590, "TRUE") = 1</formula>
    </cfRule>
    <cfRule type="expression" dxfId="1" priority="394">
      <formula>COUNTIF($G590, "FALSE") = 1</formula>
    </cfRule>
  </conditionalFormatting>
  <conditionalFormatting sqref="A593:G593">
    <cfRule type="expression" dxfId="0" priority="395">
      <formula>COUNTIF($G593, "TRUE") = 1</formula>
    </cfRule>
    <cfRule type="expression" dxfId="1" priority="396">
      <formula>COUNTIF($G593, "FALSE") = 1</formula>
    </cfRule>
  </conditionalFormatting>
  <conditionalFormatting sqref="A596:G596">
    <cfRule type="expression" dxfId="0" priority="397">
      <formula>COUNTIF($G596, "TRUE") = 1</formula>
    </cfRule>
    <cfRule type="expression" dxfId="1" priority="398">
      <formula>COUNTIF($G596, "FALSE") = 1</formula>
    </cfRule>
  </conditionalFormatting>
  <conditionalFormatting sqref="A599:G599">
    <cfRule type="expression" dxfId="0" priority="399">
      <formula>COUNTIF($G599, "TRUE") = 1</formula>
    </cfRule>
    <cfRule type="expression" dxfId="1" priority="400">
      <formula>COUNTIF($G599, "FALSE") = 1</formula>
    </cfRule>
  </conditionalFormatting>
  <conditionalFormatting sqref="A59:G59">
    <cfRule type="expression" dxfId="0" priority="39">
      <formula>COUNTIF($G59, "TRUE") = 1</formula>
    </cfRule>
    <cfRule type="expression" dxfId="1" priority="40">
      <formula>COUNTIF($G59, "FALSE") = 1</formula>
    </cfRule>
  </conditionalFormatting>
  <conditionalFormatting sqref="A5:G5">
    <cfRule type="expression" dxfId="0" priority="3">
      <formula>COUNTIF($G5, "TRUE") = 1</formula>
    </cfRule>
    <cfRule type="expression" dxfId="1" priority="4">
      <formula>COUNTIF($G5, "FALSE") = 1</formula>
    </cfRule>
  </conditionalFormatting>
  <conditionalFormatting sqref="A602:G602">
    <cfRule type="expression" dxfId="0" priority="401">
      <formula>COUNTIF($G602, "TRUE") = 1</formula>
    </cfRule>
    <cfRule type="expression" dxfId="1" priority="402">
      <formula>COUNTIF($G602, "FALSE") = 1</formula>
    </cfRule>
  </conditionalFormatting>
  <conditionalFormatting sqref="A605:G605">
    <cfRule type="expression" dxfId="0" priority="403">
      <formula>COUNTIF($G605, "TRUE") = 1</formula>
    </cfRule>
    <cfRule type="expression" dxfId="1" priority="404">
      <formula>COUNTIF($G605, "FALSE") = 1</formula>
    </cfRule>
  </conditionalFormatting>
  <conditionalFormatting sqref="A608:G608">
    <cfRule type="expression" dxfId="0" priority="405">
      <formula>COUNTIF($G608, "TRUE") = 1</formula>
    </cfRule>
    <cfRule type="expression" dxfId="1" priority="406">
      <formula>COUNTIF($G608, "FALSE") = 1</formula>
    </cfRule>
  </conditionalFormatting>
  <conditionalFormatting sqref="A611:G611">
    <cfRule type="expression" dxfId="0" priority="407">
      <formula>COUNTIF($G611, "TRUE") = 1</formula>
    </cfRule>
    <cfRule type="expression" dxfId="1" priority="408">
      <formula>COUNTIF($G611, "FALSE") = 1</formula>
    </cfRule>
  </conditionalFormatting>
  <conditionalFormatting sqref="A614:G614">
    <cfRule type="expression" dxfId="0" priority="409">
      <formula>COUNTIF($G614, "TRUE") = 1</formula>
    </cfRule>
    <cfRule type="expression" dxfId="1" priority="410">
      <formula>COUNTIF($G614, "FALSE") = 1</formula>
    </cfRule>
  </conditionalFormatting>
  <conditionalFormatting sqref="A617:G617">
    <cfRule type="expression" dxfId="0" priority="411">
      <formula>COUNTIF($G617, "TRUE") = 1</formula>
    </cfRule>
    <cfRule type="expression" dxfId="1" priority="412">
      <formula>COUNTIF($G617, "FALSE") = 1</formula>
    </cfRule>
  </conditionalFormatting>
  <conditionalFormatting sqref="A620:G620">
    <cfRule type="expression" dxfId="0" priority="413">
      <formula>COUNTIF($G620, "TRUE") = 1</formula>
    </cfRule>
    <cfRule type="expression" dxfId="1" priority="414">
      <formula>COUNTIF($G620, "FALSE") = 1</formula>
    </cfRule>
  </conditionalFormatting>
  <conditionalFormatting sqref="A623:G623">
    <cfRule type="expression" dxfId="0" priority="415">
      <formula>COUNTIF($G623, "TRUE") = 1</formula>
    </cfRule>
    <cfRule type="expression" dxfId="1" priority="416">
      <formula>COUNTIF($G623, "FALSE") = 1</formula>
    </cfRule>
  </conditionalFormatting>
  <conditionalFormatting sqref="A626:G626">
    <cfRule type="expression" dxfId="0" priority="417">
      <formula>COUNTIF($G626, "TRUE") = 1</formula>
    </cfRule>
    <cfRule type="expression" dxfId="1" priority="418">
      <formula>COUNTIF($G626, "FALSE") = 1</formula>
    </cfRule>
  </conditionalFormatting>
  <conditionalFormatting sqref="A629:G629">
    <cfRule type="expression" dxfId="0" priority="419">
      <formula>COUNTIF($G629, "TRUE") = 1</formula>
    </cfRule>
    <cfRule type="expression" dxfId="1" priority="420">
      <formula>COUNTIF($G629, "FALSE") = 1</formula>
    </cfRule>
  </conditionalFormatting>
  <conditionalFormatting sqref="A62:G62">
    <cfRule type="expression" dxfId="0" priority="41">
      <formula>COUNTIF($G62, "TRUE") = 1</formula>
    </cfRule>
    <cfRule type="expression" dxfId="1" priority="42">
      <formula>COUNTIF($G62, "FALSE") = 1</formula>
    </cfRule>
  </conditionalFormatting>
  <conditionalFormatting sqref="A632:G632">
    <cfRule type="expression" dxfId="0" priority="421">
      <formula>COUNTIF($G632, "TRUE") = 1</formula>
    </cfRule>
    <cfRule type="expression" dxfId="1" priority="422">
      <formula>COUNTIF($G632, "FALSE") = 1</formula>
    </cfRule>
  </conditionalFormatting>
  <conditionalFormatting sqref="A635:G635">
    <cfRule type="expression" dxfId="0" priority="423">
      <formula>COUNTIF($G635, "TRUE") = 1</formula>
    </cfRule>
    <cfRule type="expression" dxfId="1" priority="424">
      <formula>COUNTIF($G635, "FALSE") = 1</formula>
    </cfRule>
  </conditionalFormatting>
  <conditionalFormatting sqref="A638:G638">
    <cfRule type="expression" dxfId="0" priority="425">
      <formula>COUNTIF($G638, "TRUE") = 1</formula>
    </cfRule>
    <cfRule type="expression" dxfId="1" priority="426">
      <formula>COUNTIF($G638, "FALSE") = 1</formula>
    </cfRule>
  </conditionalFormatting>
  <conditionalFormatting sqref="A641:G641">
    <cfRule type="expression" dxfId="0" priority="427">
      <formula>COUNTIF($G641, "TRUE") = 1</formula>
    </cfRule>
    <cfRule type="expression" dxfId="1" priority="428">
      <formula>COUNTIF($G641, "FALSE") = 1</formula>
    </cfRule>
  </conditionalFormatting>
  <conditionalFormatting sqref="A644:G644">
    <cfRule type="expression" dxfId="0" priority="429">
      <formula>COUNTIF($G644, "TRUE") = 1</formula>
    </cfRule>
    <cfRule type="expression" dxfId="1" priority="430">
      <formula>COUNTIF($G644, "FALSE") = 1</formula>
    </cfRule>
  </conditionalFormatting>
  <conditionalFormatting sqref="A647:G647">
    <cfRule type="expression" dxfId="0" priority="431">
      <formula>COUNTIF($G647, "TRUE") = 1</formula>
    </cfRule>
    <cfRule type="expression" dxfId="1" priority="432">
      <formula>COUNTIF($G647, "FALSE") = 1</formula>
    </cfRule>
  </conditionalFormatting>
  <conditionalFormatting sqref="A650:G650">
    <cfRule type="expression" dxfId="0" priority="433">
      <formula>COUNTIF($G650, "TRUE") = 1</formula>
    </cfRule>
    <cfRule type="expression" dxfId="1" priority="434">
      <formula>COUNTIF($G650, "FALSE") = 1</formula>
    </cfRule>
  </conditionalFormatting>
  <conditionalFormatting sqref="A653:G653">
    <cfRule type="expression" dxfId="0" priority="435">
      <formula>COUNTIF($G653, "TRUE") = 1</formula>
    </cfRule>
    <cfRule type="expression" dxfId="1" priority="436">
      <formula>COUNTIF($G653, "FALSE") = 1</formula>
    </cfRule>
  </conditionalFormatting>
  <conditionalFormatting sqref="A656:G656">
    <cfRule type="expression" dxfId="0" priority="437">
      <formula>COUNTIF($G656, "TRUE") = 1</formula>
    </cfRule>
    <cfRule type="expression" dxfId="1" priority="438">
      <formula>COUNTIF($G656, "FALSE") = 1</formula>
    </cfRule>
  </conditionalFormatting>
  <conditionalFormatting sqref="A659:G659">
    <cfRule type="expression" dxfId="0" priority="439">
      <formula>COUNTIF($G659, "TRUE") = 1</formula>
    </cfRule>
    <cfRule type="expression" dxfId="1" priority="440">
      <formula>COUNTIF($G659, "FALSE") = 1</formula>
    </cfRule>
  </conditionalFormatting>
  <conditionalFormatting sqref="A65:G65">
    <cfRule type="expression" dxfId="0" priority="43">
      <formula>COUNTIF($G65, "TRUE") = 1</formula>
    </cfRule>
    <cfRule type="expression" dxfId="1" priority="44">
      <formula>COUNTIF($G65, "FALSE") = 1</formula>
    </cfRule>
  </conditionalFormatting>
  <conditionalFormatting sqref="A662:G662">
    <cfRule type="expression" dxfId="0" priority="441">
      <formula>COUNTIF($G662, "TRUE") = 1</formula>
    </cfRule>
    <cfRule type="expression" dxfId="1" priority="442">
      <formula>COUNTIF($G662, "FALSE") = 1</formula>
    </cfRule>
  </conditionalFormatting>
  <conditionalFormatting sqref="A665:G665">
    <cfRule type="expression" dxfId="0" priority="443">
      <formula>COUNTIF($G665, "TRUE") = 1</formula>
    </cfRule>
    <cfRule type="expression" dxfId="1" priority="444">
      <formula>COUNTIF($G665, "FALSE") = 1</formula>
    </cfRule>
  </conditionalFormatting>
  <conditionalFormatting sqref="A668:G668">
    <cfRule type="expression" dxfId="0" priority="445">
      <formula>COUNTIF($G668, "TRUE") = 1</formula>
    </cfRule>
    <cfRule type="expression" dxfId="1" priority="446">
      <formula>COUNTIF($G668, "FALSE") = 1</formula>
    </cfRule>
  </conditionalFormatting>
  <conditionalFormatting sqref="A671:G671">
    <cfRule type="expression" dxfId="0" priority="447">
      <formula>COUNTIF($G671, "TRUE") = 1</formula>
    </cfRule>
    <cfRule type="expression" dxfId="1" priority="448">
      <formula>COUNTIF($G671, "FALSE") = 1</formula>
    </cfRule>
  </conditionalFormatting>
  <conditionalFormatting sqref="A674:G674">
    <cfRule type="expression" dxfId="0" priority="449">
      <formula>COUNTIF($G674, "TRUE") = 1</formula>
    </cfRule>
    <cfRule type="expression" dxfId="1" priority="450">
      <formula>COUNTIF($G674, "FALSE") = 1</formula>
    </cfRule>
  </conditionalFormatting>
  <conditionalFormatting sqref="A677:G677">
    <cfRule type="expression" dxfId="0" priority="451">
      <formula>COUNTIF($G677, "TRUE") = 1</formula>
    </cfRule>
    <cfRule type="expression" dxfId="1" priority="452">
      <formula>COUNTIF($G677, "FALSE") = 1</formula>
    </cfRule>
  </conditionalFormatting>
  <conditionalFormatting sqref="A680:G680">
    <cfRule type="expression" dxfId="0" priority="453">
      <formula>COUNTIF($G680, "TRUE") = 1</formula>
    </cfRule>
    <cfRule type="expression" dxfId="1" priority="454">
      <formula>COUNTIF($G680, "FALSE") = 1</formula>
    </cfRule>
  </conditionalFormatting>
  <conditionalFormatting sqref="A683:G683">
    <cfRule type="expression" dxfId="0" priority="455">
      <formula>COUNTIF($G683, "TRUE") = 1</formula>
    </cfRule>
    <cfRule type="expression" dxfId="1" priority="456">
      <formula>COUNTIF($G683, "FALSE") = 1</formula>
    </cfRule>
  </conditionalFormatting>
  <conditionalFormatting sqref="A686:G686">
    <cfRule type="expression" dxfId="0" priority="457">
      <formula>COUNTIF($G686, "TRUE") = 1</formula>
    </cfRule>
    <cfRule type="expression" dxfId="1" priority="458">
      <formula>COUNTIF($G686, "FALSE") = 1</formula>
    </cfRule>
  </conditionalFormatting>
  <conditionalFormatting sqref="A689:G689">
    <cfRule type="expression" dxfId="0" priority="459">
      <formula>COUNTIF($G689, "TRUE") = 1</formula>
    </cfRule>
    <cfRule type="expression" dxfId="1" priority="460">
      <formula>COUNTIF($G689, "FALSE") = 1</formula>
    </cfRule>
  </conditionalFormatting>
  <conditionalFormatting sqref="A68:G68">
    <cfRule type="expression" dxfId="0" priority="45">
      <formula>COUNTIF($G68, "TRUE") = 1</formula>
    </cfRule>
    <cfRule type="expression" dxfId="1" priority="46">
      <formula>COUNTIF($G68, "FALSE") = 1</formula>
    </cfRule>
  </conditionalFormatting>
  <conditionalFormatting sqref="A692:G692">
    <cfRule type="expression" dxfId="0" priority="461">
      <formula>COUNTIF($G692, "TRUE") = 1</formula>
    </cfRule>
    <cfRule type="expression" dxfId="1" priority="462">
      <formula>COUNTIF($G692, "FALSE") = 1</formula>
    </cfRule>
  </conditionalFormatting>
  <conditionalFormatting sqref="A695:G695">
    <cfRule type="expression" dxfId="0" priority="463">
      <formula>COUNTIF($G695, "TRUE") = 1</formula>
    </cfRule>
    <cfRule type="expression" dxfId="1" priority="464">
      <formula>COUNTIF($G695, "FALSE") = 1</formula>
    </cfRule>
  </conditionalFormatting>
  <conditionalFormatting sqref="A698:G698">
    <cfRule type="expression" dxfId="0" priority="465">
      <formula>COUNTIF($G698, "TRUE") = 1</formula>
    </cfRule>
    <cfRule type="expression" dxfId="1" priority="466">
      <formula>COUNTIF($G698, "FALSE") = 1</formula>
    </cfRule>
  </conditionalFormatting>
  <conditionalFormatting sqref="A701:G701">
    <cfRule type="expression" dxfId="0" priority="467">
      <formula>COUNTIF($G701, "TRUE") = 1</formula>
    </cfRule>
    <cfRule type="expression" dxfId="1" priority="468">
      <formula>COUNTIF($G701, "FALSE") = 1</formula>
    </cfRule>
  </conditionalFormatting>
  <conditionalFormatting sqref="A704:G704">
    <cfRule type="expression" dxfId="0" priority="469">
      <formula>COUNTIF($G704, "TRUE") = 1</formula>
    </cfRule>
    <cfRule type="expression" dxfId="1" priority="470">
      <formula>COUNTIF($G704, "FALSE") = 1</formula>
    </cfRule>
  </conditionalFormatting>
  <conditionalFormatting sqref="A707:G707">
    <cfRule type="expression" dxfId="0" priority="471">
      <formula>COUNTIF($G707, "TRUE") = 1</formula>
    </cfRule>
    <cfRule type="expression" dxfId="1" priority="472">
      <formula>COUNTIF($G707, "FALSE") = 1</formula>
    </cfRule>
  </conditionalFormatting>
  <conditionalFormatting sqref="A710:G710">
    <cfRule type="expression" dxfId="0" priority="473">
      <formula>COUNTIF($G710, "TRUE") = 1</formula>
    </cfRule>
    <cfRule type="expression" dxfId="1" priority="474">
      <formula>COUNTIF($G710, "FALSE") = 1</formula>
    </cfRule>
  </conditionalFormatting>
  <conditionalFormatting sqref="A713:G713">
    <cfRule type="expression" dxfId="0" priority="475">
      <formula>COUNTIF($G713, "TRUE") = 1</formula>
    </cfRule>
    <cfRule type="expression" dxfId="1" priority="476">
      <formula>COUNTIF($G713, "FALSE") = 1</formula>
    </cfRule>
  </conditionalFormatting>
  <conditionalFormatting sqref="A716:G716">
    <cfRule type="expression" dxfId="0" priority="477">
      <formula>COUNTIF($G716, "TRUE") = 1</formula>
    </cfRule>
    <cfRule type="expression" dxfId="1" priority="478">
      <formula>COUNTIF($G716, "FALSE") = 1</formula>
    </cfRule>
  </conditionalFormatting>
  <conditionalFormatting sqref="A719:G719">
    <cfRule type="expression" dxfId="0" priority="479">
      <formula>COUNTIF($G719, "TRUE") = 1</formula>
    </cfRule>
    <cfRule type="expression" dxfId="1" priority="480">
      <formula>COUNTIF($G719, "FALSE") = 1</formula>
    </cfRule>
  </conditionalFormatting>
  <conditionalFormatting sqref="A71:G71">
    <cfRule type="expression" dxfId="0" priority="47">
      <formula>COUNTIF($G71, "TRUE") = 1</formula>
    </cfRule>
    <cfRule type="expression" dxfId="1" priority="48">
      <formula>COUNTIF($G71, "FALSE") = 1</formula>
    </cfRule>
  </conditionalFormatting>
  <conditionalFormatting sqref="A722:G722">
    <cfRule type="expression" dxfId="0" priority="481">
      <formula>COUNTIF($G722, "TRUE") = 1</formula>
    </cfRule>
    <cfRule type="expression" dxfId="1" priority="482">
      <formula>COUNTIF($G722, "FALSE") = 1</formula>
    </cfRule>
  </conditionalFormatting>
  <conditionalFormatting sqref="A725:G725">
    <cfRule type="expression" dxfId="0" priority="483">
      <formula>COUNTIF($G725, "TRUE") = 1</formula>
    </cfRule>
    <cfRule type="expression" dxfId="1" priority="484">
      <formula>COUNTIF($G725, "FALSE") = 1</formula>
    </cfRule>
  </conditionalFormatting>
  <conditionalFormatting sqref="A728:G728">
    <cfRule type="expression" dxfId="0" priority="485">
      <formula>COUNTIF($G728, "TRUE") = 1</formula>
    </cfRule>
    <cfRule type="expression" dxfId="1" priority="486">
      <formula>COUNTIF($G728, "FALSE") = 1</formula>
    </cfRule>
  </conditionalFormatting>
  <conditionalFormatting sqref="A731:G731">
    <cfRule type="expression" dxfId="0" priority="487">
      <formula>COUNTIF($G731, "TRUE") = 1</formula>
    </cfRule>
    <cfRule type="expression" dxfId="1" priority="488">
      <formula>COUNTIF($G731, "FALSE") = 1</formula>
    </cfRule>
  </conditionalFormatting>
  <conditionalFormatting sqref="A734:G734">
    <cfRule type="expression" dxfId="0" priority="489">
      <formula>COUNTIF($G734, "TRUE") = 1</formula>
    </cfRule>
    <cfRule type="expression" dxfId="1" priority="490">
      <formula>COUNTIF($G734, "FALSE") = 1</formula>
    </cfRule>
  </conditionalFormatting>
  <conditionalFormatting sqref="A737:G737">
    <cfRule type="expression" dxfId="0" priority="491">
      <formula>COUNTIF($G737, "TRUE") = 1</formula>
    </cfRule>
    <cfRule type="expression" dxfId="1" priority="492">
      <formula>COUNTIF($G737, "FALSE") = 1</formula>
    </cfRule>
  </conditionalFormatting>
  <conditionalFormatting sqref="A740:G740">
    <cfRule type="expression" dxfId="0" priority="493">
      <formula>COUNTIF($G740, "TRUE") = 1</formula>
    </cfRule>
    <cfRule type="expression" dxfId="1" priority="494">
      <formula>COUNTIF($G740, "FALSE") = 1</formula>
    </cfRule>
  </conditionalFormatting>
  <conditionalFormatting sqref="A743:G743">
    <cfRule type="expression" dxfId="0" priority="495">
      <formula>COUNTIF($G743, "TRUE") = 1</formula>
    </cfRule>
    <cfRule type="expression" dxfId="1" priority="496">
      <formula>COUNTIF($G743, "FALSE") = 1</formula>
    </cfRule>
  </conditionalFormatting>
  <conditionalFormatting sqref="A746:G746">
    <cfRule type="expression" dxfId="0" priority="497">
      <formula>COUNTIF($G746, "TRUE") = 1</formula>
    </cfRule>
    <cfRule type="expression" dxfId="1" priority="498">
      <formula>COUNTIF($G746, "FALSE") = 1</formula>
    </cfRule>
  </conditionalFormatting>
  <conditionalFormatting sqref="A749:G749">
    <cfRule type="expression" dxfId="0" priority="499">
      <formula>COUNTIF($G749, "TRUE") = 1</formula>
    </cfRule>
    <cfRule type="expression" dxfId="1" priority="500">
      <formula>COUNTIF($G749, "FALSE") = 1</formula>
    </cfRule>
  </conditionalFormatting>
  <conditionalFormatting sqref="A74:G74">
    <cfRule type="expression" dxfId="0" priority="49">
      <formula>COUNTIF($G74, "TRUE") = 1</formula>
    </cfRule>
    <cfRule type="expression" dxfId="1" priority="50">
      <formula>COUNTIF($G74, "FALSE") = 1</formula>
    </cfRule>
  </conditionalFormatting>
  <conditionalFormatting sqref="A752:G752">
    <cfRule type="expression" dxfId="0" priority="501">
      <formula>COUNTIF($G752, "TRUE") = 1</formula>
    </cfRule>
    <cfRule type="expression" dxfId="1" priority="502">
      <formula>COUNTIF($G752, "FALSE") = 1</formula>
    </cfRule>
  </conditionalFormatting>
  <conditionalFormatting sqref="A755:G755">
    <cfRule type="expression" dxfId="0" priority="503">
      <formula>COUNTIF($G755, "TRUE") = 1</formula>
    </cfRule>
    <cfRule type="expression" dxfId="1" priority="504">
      <formula>COUNTIF($G755, "FALSE") = 1</formula>
    </cfRule>
  </conditionalFormatting>
  <conditionalFormatting sqref="A758:G758">
    <cfRule type="expression" dxfId="0" priority="505">
      <formula>COUNTIF($G758, "TRUE") = 1</formula>
    </cfRule>
    <cfRule type="expression" dxfId="1" priority="506">
      <formula>COUNTIF($G758, "FALSE") = 1</formula>
    </cfRule>
  </conditionalFormatting>
  <conditionalFormatting sqref="A761:G761">
    <cfRule type="expression" dxfId="0" priority="507">
      <formula>COUNTIF($G761, "TRUE") = 1</formula>
    </cfRule>
    <cfRule type="expression" dxfId="1" priority="508">
      <formula>COUNTIF($G761, "FALSE") = 1</formula>
    </cfRule>
  </conditionalFormatting>
  <conditionalFormatting sqref="A764:G764">
    <cfRule type="expression" dxfId="0" priority="509">
      <formula>COUNTIF($G764, "TRUE") = 1</formula>
    </cfRule>
    <cfRule type="expression" dxfId="1" priority="510">
      <formula>COUNTIF($G764, "FALSE") = 1</formula>
    </cfRule>
  </conditionalFormatting>
  <conditionalFormatting sqref="A767:G767">
    <cfRule type="expression" dxfId="0" priority="511">
      <formula>COUNTIF($G767, "TRUE") = 1</formula>
    </cfRule>
    <cfRule type="expression" dxfId="1" priority="512">
      <formula>COUNTIF($G767, "FALSE") = 1</formula>
    </cfRule>
  </conditionalFormatting>
  <conditionalFormatting sqref="A770:G770">
    <cfRule type="expression" dxfId="0" priority="513">
      <formula>COUNTIF($G770, "TRUE") = 1</formula>
    </cfRule>
    <cfRule type="expression" dxfId="1" priority="514">
      <formula>COUNTIF($G770, "FALSE") = 1</formula>
    </cfRule>
  </conditionalFormatting>
  <conditionalFormatting sqref="A773:G773">
    <cfRule type="expression" dxfId="0" priority="515">
      <formula>COUNTIF($G773, "TRUE") = 1</formula>
    </cfRule>
    <cfRule type="expression" dxfId="1" priority="516">
      <formula>COUNTIF($G773, "FALSE") = 1</formula>
    </cfRule>
  </conditionalFormatting>
  <conditionalFormatting sqref="A776:G776">
    <cfRule type="expression" dxfId="0" priority="517">
      <formula>COUNTIF($G776, "TRUE") = 1</formula>
    </cfRule>
    <cfRule type="expression" dxfId="1" priority="518">
      <formula>COUNTIF($G776, "FALSE") = 1</formula>
    </cfRule>
  </conditionalFormatting>
  <conditionalFormatting sqref="A779:G779">
    <cfRule type="expression" dxfId="0" priority="519">
      <formula>COUNTIF($G779, "TRUE") = 1</formula>
    </cfRule>
    <cfRule type="expression" dxfId="1" priority="520">
      <formula>COUNTIF($G779, "FALSE") = 1</formula>
    </cfRule>
  </conditionalFormatting>
  <conditionalFormatting sqref="A77:G77">
    <cfRule type="expression" dxfId="0" priority="51">
      <formula>COUNTIF($G77, "TRUE") = 1</formula>
    </cfRule>
    <cfRule type="expression" dxfId="1" priority="52">
      <formula>COUNTIF($G77, "FALSE") = 1</formula>
    </cfRule>
  </conditionalFormatting>
  <conditionalFormatting sqref="A782:G782">
    <cfRule type="expression" dxfId="0" priority="521">
      <formula>COUNTIF($G782, "TRUE") = 1</formula>
    </cfRule>
    <cfRule type="expression" dxfId="1" priority="522">
      <formula>COUNTIF($G782, "FALSE") = 1</formula>
    </cfRule>
  </conditionalFormatting>
  <conditionalFormatting sqref="A785:G785">
    <cfRule type="expression" dxfId="0" priority="523">
      <formula>COUNTIF($G785, "TRUE") = 1</formula>
    </cfRule>
    <cfRule type="expression" dxfId="1" priority="524">
      <formula>COUNTIF($G785, "FALSE") = 1</formula>
    </cfRule>
  </conditionalFormatting>
  <conditionalFormatting sqref="A788:G788">
    <cfRule type="expression" dxfId="0" priority="525">
      <formula>COUNTIF($G788, "TRUE") = 1</formula>
    </cfRule>
    <cfRule type="expression" dxfId="1" priority="526">
      <formula>COUNTIF($G788, "FALSE") = 1</formula>
    </cfRule>
  </conditionalFormatting>
  <conditionalFormatting sqref="A791:G791">
    <cfRule type="expression" dxfId="0" priority="527">
      <formula>COUNTIF($G791, "TRUE") = 1</formula>
    </cfRule>
    <cfRule type="expression" dxfId="1" priority="528">
      <formula>COUNTIF($G791, "FALSE") = 1</formula>
    </cfRule>
  </conditionalFormatting>
  <conditionalFormatting sqref="A794:G794">
    <cfRule type="expression" dxfId="0" priority="529">
      <formula>COUNTIF($G794, "TRUE") = 1</formula>
    </cfRule>
    <cfRule type="expression" dxfId="1" priority="530">
      <formula>COUNTIF($G794, "FALSE") = 1</formula>
    </cfRule>
  </conditionalFormatting>
  <conditionalFormatting sqref="A797:G797">
    <cfRule type="expression" dxfId="0" priority="531">
      <formula>COUNTIF($G797, "TRUE") = 1</formula>
    </cfRule>
    <cfRule type="expression" dxfId="1" priority="532">
      <formula>COUNTIF($G797, "FALSE") = 1</formula>
    </cfRule>
  </conditionalFormatting>
  <conditionalFormatting sqref="A800:G800">
    <cfRule type="expression" dxfId="0" priority="533">
      <formula>COUNTIF($G800, "TRUE") = 1</formula>
    </cfRule>
    <cfRule type="expression" dxfId="1" priority="534">
      <formula>COUNTIF($G800, "FALSE") = 1</formula>
    </cfRule>
  </conditionalFormatting>
  <conditionalFormatting sqref="A803:G803">
    <cfRule type="expression" dxfId="0" priority="535">
      <formula>COUNTIF($G803, "TRUE") = 1</formula>
    </cfRule>
    <cfRule type="expression" dxfId="1" priority="536">
      <formula>COUNTIF($G803, "FALSE") = 1</formula>
    </cfRule>
  </conditionalFormatting>
  <conditionalFormatting sqref="A806:G806">
    <cfRule type="expression" dxfId="0" priority="537">
      <formula>COUNTIF($G806, "TRUE") = 1</formula>
    </cfRule>
    <cfRule type="expression" dxfId="1" priority="538">
      <formula>COUNTIF($G806, "FALSE") = 1</formula>
    </cfRule>
  </conditionalFormatting>
  <conditionalFormatting sqref="A809:G809">
    <cfRule type="expression" dxfId="0" priority="539">
      <formula>COUNTIF($G809, "TRUE") = 1</formula>
    </cfRule>
    <cfRule type="expression" dxfId="1" priority="540">
      <formula>COUNTIF($G809, "FALSE") = 1</formula>
    </cfRule>
  </conditionalFormatting>
  <conditionalFormatting sqref="A80:G80">
    <cfRule type="expression" dxfId="0" priority="53">
      <formula>COUNTIF($G80, "TRUE") = 1</formula>
    </cfRule>
    <cfRule type="expression" dxfId="1" priority="54">
      <formula>COUNTIF($G80, "FALSE") = 1</formula>
    </cfRule>
  </conditionalFormatting>
  <conditionalFormatting sqref="A812:G812">
    <cfRule type="expression" dxfId="0" priority="541">
      <formula>COUNTIF($G812, "TRUE") = 1</formula>
    </cfRule>
    <cfRule type="expression" dxfId="1" priority="542">
      <formula>COUNTIF($G812, "FALSE") = 1</formula>
    </cfRule>
  </conditionalFormatting>
  <conditionalFormatting sqref="A815:G815">
    <cfRule type="expression" dxfId="0" priority="543">
      <formula>COUNTIF($G815, "TRUE") = 1</formula>
    </cfRule>
    <cfRule type="expression" dxfId="1" priority="544">
      <formula>COUNTIF($G815, "FALSE") = 1</formula>
    </cfRule>
  </conditionalFormatting>
  <conditionalFormatting sqref="A818:G818">
    <cfRule type="expression" dxfId="0" priority="545">
      <formula>COUNTIF($G818, "TRUE") = 1</formula>
    </cfRule>
    <cfRule type="expression" dxfId="1" priority="546">
      <formula>COUNTIF($G818, "FALSE") = 1</formula>
    </cfRule>
  </conditionalFormatting>
  <conditionalFormatting sqref="A821:G821">
    <cfRule type="expression" dxfId="0" priority="547">
      <formula>COUNTIF($G821, "TRUE") = 1</formula>
    </cfRule>
    <cfRule type="expression" dxfId="1" priority="548">
      <formula>COUNTIF($G821, "FALSE") = 1</formula>
    </cfRule>
  </conditionalFormatting>
  <conditionalFormatting sqref="A824:G824">
    <cfRule type="expression" dxfId="0" priority="549">
      <formula>COUNTIF($G824, "TRUE") = 1</formula>
    </cfRule>
    <cfRule type="expression" dxfId="1" priority="550">
      <formula>COUNTIF($G824, "FALSE") = 1</formula>
    </cfRule>
  </conditionalFormatting>
  <conditionalFormatting sqref="A827:G827">
    <cfRule type="expression" dxfId="0" priority="551">
      <formula>COUNTIF($G827, "TRUE") = 1</formula>
    </cfRule>
    <cfRule type="expression" dxfId="1" priority="552">
      <formula>COUNTIF($G827, "FALSE") = 1</formula>
    </cfRule>
  </conditionalFormatting>
  <conditionalFormatting sqref="A830:G830">
    <cfRule type="expression" dxfId="0" priority="553">
      <formula>COUNTIF($G830, "TRUE") = 1</formula>
    </cfRule>
    <cfRule type="expression" dxfId="1" priority="554">
      <formula>COUNTIF($G830, "FALSE") = 1</formula>
    </cfRule>
  </conditionalFormatting>
  <conditionalFormatting sqref="A833:G833">
    <cfRule type="expression" dxfId="0" priority="555">
      <formula>COUNTIF($G833, "TRUE") = 1</formula>
    </cfRule>
    <cfRule type="expression" dxfId="1" priority="556">
      <formula>COUNTIF($G833, "FALSE") = 1</formula>
    </cfRule>
  </conditionalFormatting>
  <conditionalFormatting sqref="A836:G836">
    <cfRule type="expression" dxfId="0" priority="557">
      <formula>COUNTIF($G836, "TRUE") = 1</formula>
    </cfRule>
    <cfRule type="expression" dxfId="1" priority="558">
      <formula>COUNTIF($G836, "FALSE") = 1</formula>
    </cfRule>
  </conditionalFormatting>
  <conditionalFormatting sqref="A839:G839">
    <cfRule type="expression" dxfId="0" priority="559">
      <formula>COUNTIF($G839, "TRUE") = 1</formula>
    </cfRule>
    <cfRule type="expression" dxfId="1" priority="560">
      <formula>COUNTIF($G839, "FALSE") = 1</formula>
    </cfRule>
  </conditionalFormatting>
  <conditionalFormatting sqref="A83:G83">
    <cfRule type="expression" dxfId="0" priority="55">
      <formula>COUNTIF($G83, "TRUE") = 1</formula>
    </cfRule>
    <cfRule type="expression" dxfId="1" priority="56">
      <formula>COUNTIF($G83, "FALSE") = 1</formula>
    </cfRule>
  </conditionalFormatting>
  <conditionalFormatting sqref="A842:G842">
    <cfRule type="expression" dxfId="0" priority="561">
      <formula>COUNTIF($G842, "TRUE") = 1</formula>
    </cfRule>
    <cfRule type="expression" dxfId="1" priority="562">
      <formula>COUNTIF($G842, "FALSE") = 1</formula>
    </cfRule>
  </conditionalFormatting>
  <conditionalFormatting sqref="A845:G845">
    <cfRule type="expression" dxfId="0" priority="563">
      <formula>COUNTIF($G845, "TRUE") = 1</formula>
    </cfRule>
    <cfRule type="expression" dxfId="1" priority="564">
      <formula>COUNTIF($G845, "FALSE") = 1</formula>
    </cfRule>
  </conditionalFormatting>
  <conditionalFormatting sqref="A848:G848">
    <cfRule type="expression" dxfId="0" priority="565">
      <formula>COUNTIF($G848, "TRUE") = 1</formula>
    </cfRule>
    <cfRule type="expression" dxfId="1" priority="566">
      <formula>COUNTIF($G848, "FALSE") = 1</formula>
    </cfRule>
  </conditionalFormatting>
  <conditionalFormatting sqref="A851:G851">
    <cfRule type="expression" dxfId="0" priority="567">
      <formula>COUNTIF($G851, "TRUE") = 1</formula>
    </cfRule>
    <cfRule type="expression" dxfId="1" priority="568">
      <formula>COUNTIF($G851, "FALSE") = 1</formula>
    </cfRule>
  </conditionalFormatting>
  <conditionalFormatting sqref="A854:G854">
    <cfRule type="expression" dxfId="0" priority="569">
      <formula>COUNTIF($G854, "TRUE") = 1</formula>
    </cfRule>
    <cfRule type="expression" dxfId="1" priority="570">
      <formula>COUNTIF($G854, "FALSE") = 1</formula>
    </cfRule>
  </conditionalFormatting>
  <conditionalFormatting sqref="A857:G857">
    <cfRule type="expression" dxfId="0" priority="571">
      <formula>COUNTIF($G857, "TRUE") = 1</formula>
    </cfRule>
    <cfRule type="expression" dxfId="1" priority="572">
      <formula>COUNTIF($G857, "FALSE") = 1</formula>
    </cfRule>
  </conditionalFormatting>
  <conditionalFormatting sqref="A860:G860">
    <cfRule type="expression" dxfId="0" priority="573">
      <formula>COUNTIF($G860, "TRUE") = 1</formula>
    </cfRule>
    <cfRule type="expression" dxfId="1" priority="574">
      <formula>COUNTIF($G860, "FALSE") = 1</formula>
    </cfRule>
  </conditionalFormatting>
  <conditionalFormatting sqref="A863:G863">
    <cfRule type="expression" dxfId="0" priority="575">
      <formula>COUNTIF($G863, "TRUE") = 1</formula>
    </cfRule>
    <cfRule type="expression" dxfId="1" priority="576">
      <formula>COUNTIF($G863, "FALSE") = 1</formula>
    </cfRule>
  </conditionalFormatting>
  <conditionalFormatting sqref="A866:G866">
    <cfRule type="expression" dxfId="0" priority="577">
      <formula>COUNTIF($G866, "TRUE") = 1</formula>
    </cfRule>
    <cfRule type="expression" dxfId="1" priority="578">
      <formula>COUNTIF($G866, "FALSE") = 1</formula>
    </cfRule>
  </conditionalFormatting>
  <conditionalFormatting sqref="A869:G869">
    <cfRule type="expression" dxfId="0" priority="579">
      <formula>COUNTIF($G869, "TRUE") = 1</formula>
    </cfRule>
    <cfRule type="expression" dxfId="1" priority="580">
      <formula>COUNTIF($G869, "FALSE") = 1</formula>
    </cfRule>
  </conditionalFormatting>
  <conditionalFormatting sqref="A86:G86">
    <cfRule type="expression" dxfId="0" priority="57">
      <formula>COUNTIF($G86, "TRUE") = 1</formula>
    </cfRule>
    <cfRule type="expression" dxfId="1" priority="58">
      <formula>COUNTIF($G86, "FALSE") = 1</formula>
    </cfRule>
  </conditionalFormatting>
  <conditionalFormatting sqref="A872:G872">
    <cfRule type="expression" dxfId="0" priority="581">
      <formula>COUNTIF($G872, "TRUE") = 1</formula>
    </cfRule>
    <cfRule type="expression" dxfId="1" priority="582">
      <formula>COUNTIF($G872, "FALSE") = 1</formula>
    </cfRule>
  </conditionalFormatting>
  <conditionalFormatting sqref="A875:G875">
    <cfRule type="expression" dxfId="0" priority="583">
      <formula>COUNTIF($G875, "TRUE") = 1</formula>
    </cfRule>
    <cfRule type="expression" dxfId="1" priority="584">
      <formula>COUNTIF($G875, "FALSE") = 1</formula>
    </cfRule>
  </conditionalFormatting>
  <conditionalFormatting sqref="A878:G878">
    <cfRule type="expression" dxfId="0" priority="585">
      <formula>COUNTIF($G878, "TRUE") = 1</formula>
    </cfRule>
    <cfRule type="expression" dxfId="1" priority="586">
      <formula>COUNTIF($G878, "FALSE") = 1</formula>
    </cfRule>
  </conditionalFormatting>
  <conditionalFormatting sqref="A881:G881">
    <cfRule type="expression" dxfId="0" priority="587">
      <formula>COUNTIF($G881, "TRUE") = 1</formula>
    </cfRule>
    <cfRule type="expression" dxfId="1" priority="588">
      <formula>COUNTIF($G881, "FALSE") = 1</formula>
    </cfRule>
  </conditionalFormatting>
  <conditionalFormatting sqref="A884:G884">
    <cfRule type="expression" dxfId="0" priority="589">
      <formula>COUNTIF($G884, "TRUE") = 1</formula>
    </cfRule>
    <cfRule type="expression" dxfId="1" priority="590">
      <formula>COUNTIF($G884, "FALSE") = 1</formula>
    </cfRule>
  </conditionalFormatting>
  <conditionalFormatting sqref="A887:G887">
    <cfRule type="expression" dxfId="0" priority="591">
      <formula>COUNTIF($G887, "TRUE") = 1</formula>
    </cfRule>
    <cfRule type="expression" dxfId="1" priority="592">
      <formula>COUNTIF($G887, "FALSE") = 1</formula>
    </cfRule>
  </conditionalFormatting>
  <conditionalFormatting sqref="A890:G890">
    <cfRule type="expression" dxfId="0" priority="593">
      <formula>COUNTIF($G890, "TRUE") = 1</formula>
    </cfRule>
    <cfRule type="expression" dxfId="1" priority="594">
      <formula>COUNTIF($G890, "FALSE") = 1</formula>
    </cfRule>
  </conditionalFormatting>
  <conditionalFormatting sqref="A893:G893">
    <cfRule type="expression" dxfId="0" priority="595">
      <formula>COUNTIF($G893, "TRUE") = 1</formula>
    </cfRule>
    <cfRule type="expression" dxfId="1" priority="596">
      <formula>COUNTIF($G893, "FALSE") = 1</formula>
    </cfRule>
  </conditionalFormatting>
  <conditionalFormatting sqref="A896:G896">
    <cfRule type="expression" dxfId="0" priority="597">
      <formula>COUNTIF($G896, "TRUE") = 1</formula>
    </cfRule>
    <cfRule type="expression" dxfId="1" priority="598">
      <formula>COUNTIF($G896, "FALSE") = 1</formula>
    </cfRule>
  </conditionalFormatting>
  <conditionalFormatting sqref="A899:G899">
    <cfRule type="expression" dxfId="0" priority="599">
      <formula>COUNTIF($G899, "TRUE") = 1</formula>
    </cfRule>
    <cfRule type="expression" dxfId="1" priority="600">
      <formula>COUNTIF($G899, "FALSE") = 1</formula>
    </cfRule>
  </conditionalFormatting>
  <conditionalFormatting sqref="A89:G89">
    <cfRule type="expression" dxfId="0" priority="59">
      <formula>COUNTIF($G89, "TRUE") = 1</formula>
    </cfRule>
    <cfRule type="expression" dxfId="1" priority="60">
      <formula>COUNTIF($G89, "FALSE") = 1</formula>
    </cfRule>
  </conditionalFormatting>
  <conditionalFormatting sqref="A8:G8">
    <cfRule type="expression" dxfId="0" priority="5">
      <formula>COUNTIF($G8, "TRUE") = 1</formula>
    </cfRule>
    <cfRule type="expression" dxfId="1" priority="6">
      <formula>COUNTIF($G8, "FALSE") = 1</formula>
    </cfRule>
  </conditionalFormatting>
  <conditionalFormatting sqref="A902:G902">
    <cfRule type="expression" dxfId="0" priority="601">
      <formula>COUNTIF($G902, "TRUE") = 1</formula>
    </cfRule>
    <cfRule type="expression" dxfId="1" priority="602">
      <formula>COUNTIF($G902, "FALSE") = 1</formula>
    </cfRule>
  </conditionalFormatting>
  <conditionalFormatting sqref="A905:G905">
    <cfRule type="expression" dxfId="0" priority="603">
      <formula>COUNTIF($G905, "TRUE") = 1</formula>
    </cfRule>
    <cfRule type="expression" dxfId="1" priority="604">
      <formula>COUNTIF($G905, "FALSE") = 1</formula>
    </cfRule>
  </conditionalFormatting>
  <conditionalFormatting sqref="A908:G908">
    <cfRule type="expression" dxfId="0" priority="605">
      <formula>COUNTIF($G908, "TRUE") = 1</formula>
    </cfRule>
    <cfRule type="expression" dxfId="1" priority="606">
      <formula>COUNTIF($G908, "FALSE") = 1</formula>
    </cfRule>
  </conditionalFormatting>
  <conditionalFormatting sqref="A911:G911">
    <cfRule type="expression" dxfId="0" priority="607">
      <formula>COUNTIF($G911, "TRUE") = 1</formula>
    </cfRule>
    <cfRule type="expression" dxfId="1" priority="608">
      <formula>COUNTIF($G911, "FALSE") = 1</formula>
    </cfRule>
  </conditionalFormatting>
  <conditionalFormatting sqref="A914:G914">
    <cfRule type="expression" dxfId="0" priority="609">
      <formula>COUNTIF($G914, "TRUE") = 1</formula>
    </cfRule>
    <cfRule type="expression" dxfId="1" priority="610">
      <formula>COUNTIF($G914, "FALSE") = 1</formula>
    </cfRule>
  </conditionalFormatting>
  <conditionalFormatting sqref="A917:G917">
    <cfRule type="expression" dxfId="0" priority="611">
      <formula>COUNTIF($G917, "TRUE") = 1</formula>
    </cfRule>
    <cfRule type="expression" dxfId="1" priority="612">
      <formula>COUNTIF($G917, "FALSE") = 1</formula>
    </cfRule>
  </conditionalFormatting>
  <conditionalFormatting sqref="A920:G920">
    <cfRule type="expression" dxfId="0" priority="613">
      <formula>COUNTIF($G920, "TRUE") = 1</formula>
    </cfRule>
    <cfRule type="expression" dxfId="1" priority="614">
      <formula>COUNTIF($G920, "FALSE") = 1</formula>
    </cfRule>
  </conditionalFormatting>
  <conditionalFormatting sqref="A923:G923">
    <cfRule type="expression" dxfId="0" priority="615">
      <formula>COUNTIF($G923, "TRUE") = 1</formula>
    </cfRule>
    <cfRule type="expression" dxfId="1" priority="616">
      <formula>COUNTIF($G923, "FALSE") = 1</formula>
    </cfRule>
  </conditionalFormatting>
  <conditionalFormatting sqref="A926:G926">
    <cfRule type="expression" dxfId="0" priority="617">
      <formula>COUNTIF($G926, "TRUE") = 1</formula>
    </cfRule>
    <cfRule type="expression" dxfId="1" priority="618">
      <formula>COUNTIF($G926, "FALSE") = 1</formula>
    </cfRule>
  </conditionalFormatting>
  <conditionalFormatting sqref="A929:G929">
    <cfRule type="expression" dxfId="0" priority="619">
      <formula>COUNTIF($G929, "TRUE") = 1</formula>
    </cfRule>
    <cfRule type="expression" dxfId="1" priority="620">
      <formula>COUNTIF($G929, "FALSE") = 1</formula>
    </cfRule>
  </conditionalFormatting>
  <conditionalFormatting sqref="A92:G92">
    <cfRule type="expression" dxfId="0" priority="61">
      <formula>COUNTIF($G92, "TRUE") = 1</formula>
    </cfRule>
    <cfRule type="expression" dxfId="1" priority="62">
      <formula>COUNTIF($G92, "FALSE") = 1</formula>
    </cfRule>
  </conditionalFormatting>
  <conditionalFormatting sqref="A932:G932">
    <cfRule type="expression" dxfId="0" priority="621">
      <formula>COUNTIF($G932, "TRUE") = 1</formula>
    </cfRule>
    <cfRule type="expression" dxfId="1" priority="622">
      <formula>COUNTIF($G932, "FALSE") = 1</formula>
    </cfRule>
  </conditionalFormatting>
  <conditionalFormatting sqref="A935:G935">
    <cfRule type="expression" dxfId="0" priority="623">
      <formula>COUNTIF($G935, "TRUE") = 1</formula>
    </cfRule>
    <cfRule type="expression" dxfId="1" priority="624">
      <formula>COUNTIF($G935, "FALSE") = 1</formula>
    </cfRule>
  </conditionalFormatting>
  <conditionalFormatting sqref="A938:G938">
    <cfRule type="expression" dxfId="0" priority="625">
      <formula>COUNTIF($G938, "TRUE") = 1</formula>
    </cfRule>
    <cfRule type="expression" dxfId="1" priority="626">
      <formula>COUNTIF($G938, "FALSE") = 1</formula>
    </cfRule>
  </conditionalFormatting>
  <conditionalFormatting sqref="A941:G941">
    <cfRule type="expression" dxfId="0" priority="627">
      <formula>COUNTIF($G941, "TRUE") = 1</formula>
    </cfRule>
    <cfRule type="expression" dxfId="1" priority="628">
      <formula>COUNTIF($G941, "FALSE") = 1</formula>
    </cfRule>
  </conditionalFormatting>
  <conditionalFormatting sqref="A944:G944">
    <cfRule type="expression" dxfId="0" priority="629">
      <formula>COUNTIF($G944, "TRUE") = 1</formula>
    </cfRule>
    <cfRule type="expression" dxfId="1" priority="630">
      <formula>COUNTIF($G944, "FALSE") = 1</formula>
    </cfRule>
  </conditionalFormatting>
  <conditionalFormatting sqref="A947:G947">
    <cfRule type="expression" dxfId="0" priority="631">
      <formula>COUNTIF($G947, "TRUE") = 1</formula>
    </cfRule>
    <cfRule type="expression" dxfId="1" priority="632">
      <formula>COUNTIF($G947, "FALSE") = 1</formula>
    </cfRule>
  </conditionalFormatting>
  <conditionalFormatting sqref="A950:G950">
    <cfRule type="expression" dxfId="0" priority="633">
      <formula>COUNTIF($G950, "TRUE") = 1</formula>
    </cfRule>
    <cfRule type="expression" dxfId="1" priority="634">
      <formula>COUNTIF($G950, "FALSE") = 1</formula>
    </cfRule>
  </conditionalFormatting>
  <conditionalFormatting sqref="A953:G953">
    <cfRule type="expression" dxfId="0" priority="635">
      <formula>COUNTIF($G953, "TRUE") = 1</formula>
    </cfRule>
    <cfRule type="expression" dxfId="1" priority="636">
      <formula>COUNTIF($G953, "FALSE") = 1</formula>
    </cfRule>
  </conditionalFormatting>
  <conditionalFormatting sqref="A956:G956">
    <cfRule type="expression" dxfId="0" priority="637">
      <formula>COUNTIF($G956, "TRUE") = 1</formula>
    </cfRule>
    <cfRule type="expression" dxfId="1" priority="638">
      <formula>COUNTIF($G956, "FALSE") = 1</formula>
    </cfRule>
  </conditionalFormatting>
  <conditionalFormatting sqref="A959:G959">
    <cfRule type="expression" dxfId="0" priority="639">
      <formula>COUNTIF($G959, "TRUE") = 1</formula>
    </cfRule>
    <cfRule type="expression" dxfId="1" priority="640">
      <formula>COUNTIF($G959, "FALSE") = 1</formula>
    </cfRule>
  </conditionalFormatting>
  <conditionalFormatting sqref="A95:G95">
    <cfRule type="expression" dxfId="0" priority="63">
      <formula>COUNTIF($G95, "TRUE") = 1</formula>
    </cfRule>
    <cfRule type="expression" dxfId="1" priority="64">
      <formula>COUNTIF($G95, "FALSE") = 1</formula>
    </cfRule>
  </conditionalFormatting>
  <conditionalFormatting sqref="A962:G962">
    <cfRule type="expression" dxfId="0" priority="641">
      <formula>COUNTIF($G962, "TRUE") = 1</formula>
    </cfRule>
    <cfRule type="expression" dxfId="1" priority="642">
      <formula>COUNTIF($G962, "FALSE") = 1</formula>
    </cfRule>
  </conditionalFormatting>
  <conditionalFormatting sqref="A965:G965">
    <cfRule type="expression" dxfId="0" priority="643">
      <formula>COUNTIF($G965, "TRUE") = 1</formula>
    </cfRule>
    <cfRule type="expression" dxfId="1" priority="644">
      <formula>COUNTIF($G965, "FALSE") = 1</formula>
    </cfRule>
  </conditionalFormatting>
  <conditionalFormatting sqref="A968:G968">
    <cfRule type="expression" dxfId="0" priority="645">
      <formula>COUNTIF($G968, "TRUE") = 1</formula>
    </cfRule>
    <cfRule type="expression" dxfId="1" priority="646">
      <formula>COUNTIF($G968, "FALSE") = 1</formula>
    </cfRule>
  </conditionalFormatting>
  <conditionalFormatting sqref="A971:G971">
    <cfRule type="expression" dxfId="0" priority="647">
      <formula>COUNTIF($G971, "TRUE") = 1</formula>
    </cfRule>
    <cfRule type="expression" dxfId="1" priority="648">
      <formula>COUNTIF($G971, "FALSE") = 1</formula>
    </cfRule>
  </conditionalFormatting>
  <conditionalFormatting sqref="A974:G974">
    <cfRule type="expression" dxfId="0" priority="649">
      <formula>COUNTIF($G974, "TRUE") = 1</formula>
    </cfRule>
    <cfRule type="expression" dxfId="1" priority="650">
      <formula>COUNTIF($G974, "FALSE") = 1</formula>
    </cfRule>
  </conditionalFormatting>
  <conditionalFormatting sqref="A977:G977">
    <cfRule type="expression" dxfId="0" priority="651">
      <formula>COUNTIF($G977, "TRUE") = 1</formula>
    </cfRule>
    <cfRule type="expression" dxfId="1" priority="652">
      <formula>COUNTIF($G977, "FALSE") = 1</formula>
    </cfRule>
  </conditionalFormatting>
  <conditionalFormatting sqref="A980:G980">
    <cfRule type="expression" dxfId="0" priority="653">
      <formula>COUNTIF($G980, "TRUE") = 1</formula>
    </cfRule>
    <cfRule type="expression" dxfId="1" priority="654">
      <formula>COUNTIF($G980, "FALSE") = 1</formula>
    </cfRule>
  </conditionalFormatting>
  <conditionalFormatting sqref="A983:G983">
    <cfRule type="expression" dxfId="0" priority="655">
      <formula>COUNTIF($G983, "TRUE") = 1</formula>
    </cfRule>
    <cfRule type="expression" dxfId="1" priority="656">
      <formula>COUNTIF($G983, "FALSE") = 1</formula>
    </cfRule>
  </conditionalFormatting>
  <conditionalFormatting sqref="A986:G986">
    <cfRule type="expression" dxfId="0" priority="657">
      <formula>COUNTIF($G986, "TRUE") = 1</formula>
    </cfRule>
    <cfRule type="expression" dxfId="1" priority="658">
      <formula>COUNTIF($G986, "FALSE") = 1</formula>
    </cfRule>
  </conditionalFormatting>
  <conditionalFormatting sqref="A989:G989">
    <cfRule type="expression" dxfId="0" priority="659">
      <formula>COUNTIF($G989, "TRUE") = 1</formula>
    </cfRule>
    <cfRule type="expression" dxfId="1" priority="660">
      <formula>COUNTIF($G989, "FALSE") = 1</formula>
    </cfRule>
  </conditionalFormatting>
  <conditionalFormatting sqref="A98:G98">
    <cfRule type="expression" dxfId="0" priority="65">
      <formula>COUNTIF($G98, "TRUE") = 1</formula>
    </cfRule>
    <cfRule type="expression" dxfId="1" priority="66">
      <formula>COUNTIF($G98, "FALSE") = 1</formula>
    </cfRule>
  </conditionalFormatting>
  <conditionalFormatting sqref="A992:G992">
    <cfRule type="expression" dxfId="0" priority="661">
      <formula>COUNTIF($G992, "TRUE") = 1</formula>
    </cfRule>
    <cfRule type="expression" dxfId="1" priority="662">
      <formula>COUNTIF($G992, "FALSE") = 1</formula>
    </cfRule>
  </conditionalFormatting>
  <conditionalFormatting sqref="A995:G995">
    <cfRule type="expression" dxfId="0" priority="663">
      <formula>COUNTIF($G995, "TRUE") = 1</formula>
    </cfRule>
    <cfRule type="expression" dxfId="1" priority="664">
      <formula>COUNTIF($G995, "FALSE") = 1</formula>
    </cfRule>
  </conditionalFormatting>
  <conditionalFormatting sqref="A998:G998">
    <cfRule type="expression" dxfId="0" priority="665">
      <formula>COUNTIF($G998, "TRUE") = 1</formula>
    </cfRule>
    <cfRule type="expression" dxfId="1" priority="666">
      <formula>COUNTIF($G998,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2024-07-09T09:02:02Z</dcterms:created>
  <dcterms:modified xsi:type="dcterms:W3CDTF">2024-07-09T09:02:02Z</dcterms:modified>
</cp:coreProperties>
</file>