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<sst xmlns="http://schemas.openxmlformats.org/spreadsheetml/2006/main" count="4021" uniqueCount="2313">
  <si>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</si>
  <si>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</si>
  <si>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</si>
  <si>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</si>
  <si>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</si>
  <si>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</si>
  <si>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</si>
  <si>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</si>
  <si>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 xml:space="preserve">
#</t>
  </si>
  <si>
    <t>FALSE</t>
  </si>
  <si>
    <t>Ivysaur</t>
  </si>
  <si>
    <t>Venusaur</t>
  </si>
  <si>
    <t>Charmander</t>
  </si>
  <si>
    <t>151
#168</t>
  </si>
  <si>
    <t>Scarlet &amp; Violet Promos
#044</t>
  </si>
  <si>
    <t>Charmeleon</t>
  </si>
  <si>
    <t>151
#169</t>
  </si>
  <si>
    <t>Team Rocket
#32</t>
  </si>
  <si>
    <t>Team Up
#13</t>
  </si>
  <si>
    <t>Expedition
#73</t>
  </si>
  <si>
    <t>Charizard</t>
  </si>
  <si>
    <t>Squirtle</t>
  </si>
  <si>
    <t>Wartortle</t>
  </si>
  <si>
    <t>151
#171</t>
  </si>
  <si>
    <t>151
#008</t>
  </si>
  <si>
    <t>Legendary Collection
#39</t>
  </si>
  <si>
    <t>Southern Islands
#15</t>
  </si>
  <si>
    <t>Blastoise</t>
  </si>
  <si>
    <t>Caterpie</t>
  </si>
  <si>
    <t>Metapod</t>
  </si>
  <si>
    <t>Butterfree</t>
  </si>
  <si>
    <t>Weedle</t>
  </si>
  <si>
    <t>Kakuna</t>
  </si>
  <si>
    <t>Beedrill</t>
  </si>
  <si>
    <t>Astral Radiance
#161</t>
  </si>
  <si>
    <t>XY Promos
#XY158</t>
  </si>
  <si>
    <t>151
#015</t>
  </si>
  <si>
    <t>Evolutions
#7</t>
  </si>
  <si>
    <t>Pidgey</t>
  </si>
  <si>
    <t>Pidgeotto</t>
  </si>
  <si>
    <t>Obsidian Flames
#208</t>
  </si>
  <si>
    <t>Obsidian Flames
#163</t>
  </si>
  <si>
    <t>Team Up
#123</t>
  </si>
  <si>
    <t>151
#017</t>
  </si>
  <si>
    <t>Pidgeot</t>
  </si>
  <si>
    <t>Rattata</t>
  </si>
  <si>
    <t>Pokémon GO
#041</t>
  </si>
  <si>
    <t>Evolutions
#66</t>
  </si>
  <si>
    <t>151
#019</t>
  </si>
  <si>
    <t>Team Rocket Returns
#72</t>
  </si>
  <si>
    <t>Raticate</t>
  </si>
  <si>
    <t>Spearow</t>
  </si>
  <si>
    <t>FireRed &amp; LeafGreen
#81</t>
  </si>
  <si>
    <t>Sandstorm
#81</t>
  </si>
  <si>
    <t>Unbroken Bonds
#145</t>
  </si>
  <si>
    <t>151
#021</t>
  </si>
  <si>
    <t>Fearow</t>
  </si>
  <si>
    <t>Ekans</t>
  </si>
  <si>
    <t>151
#023</t>
  </si>
  <si>
    <t>Hidden Fates
#25</t>
  </si>
  <si>
    <t>Expedition
#108</t>
  </si>
  <si>
    <t>Temporal Forces
#100</t>
  </si>
  <si>
    <t>Arbok</t>
  </si>
  <si>
    <t>Pikachu</t>
  </si>
  <si>
    <t>Raichu</t>
  </si>
  <si>
    <t>Sandshrew</t>
  </si>
  <si>
    <t>151
#027</t>
  </si>
  <si>
    <t>Cosmic Eclipse
#137</t>
  </si>
  <si>
    <t>Skyridge
#92</t>
  </si>
  <si>
    <t>Delta Species
#82</t>
  </si>
  <si>
    <t>Sandslash</t>
  </si>
  <si>
    <t>Sun &amp; Moon Promos
#SM18</t>
  </si>
  <si>
    <t>Sun &amp; Moon Promos
#SM236</t>
  </si>
  <si>
    <t>Guardians Rising
#20</t>
  </si>
  <si>
    <t>151
#028</t>
  </si>
  <si>
    <t>Nidoran-F</t>
  </si>
  <si>
    <t>Nidorina</t>
  </si>
  <si>
    <t>Nidoqueen</t>
  </si>
  <si>
    <t>Nidoran-M</t>
  </si>
  <si>
    <t>Nidorino</t>
  </si>
  <si>
    <t>Nidoking</t>
  </si>
  <si>
    <t>151
#174</t>
  </si>
  <si>
    <t>Steam Siege
#45</t>
  </si>
  <si>
    <t>Evolutions
#45</t>
  </si>
  <si>
    <t>Aquapolis
#24</t>
  </si>
  <si>
    <t>Clefairy</t>
  </si>
  <si>
    <t>Clefable</t>
  </si>
  <si>
    <t>Vulpix</t>
  </si>
  <si>
    <t>Ninetales</t>
  </si>
  <si>
    <t>Jigglypuff</t>
  </si>
  <si>
    <t>151
#039</t>
  </si>
  <si>
    <t>Fusion Strike
#110</t>
  </si>
  <si>
    <t>Paldea Evolved
#083</t>
  </si>
  <si>
    <t>Cosmic Eclipse
#226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</si>
  <si>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</si>
  <si>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</si>
  <si>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</si>
  <si>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</si>
  <si>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</si>
  <si>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</si>
  <si>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</si>
  <si>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</si>
  <si>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Lost Origin
#TG01</t>
  </si>
  <si>
    <t>Base Set 2
#55</t>
  </si>
  <si>
    <t>Generations
#7</t>
  </si>
  <si>
    <t>Team Up
#7</t>
  </si>
  <si>
    <t>Venonat</t>
  </si>
  <si>
    <t>Silver Tempest
#001</t>
  </si>
  <si>
    <t>Unbroken Bonds
#10</t>
  </si>
  <si>
    <t>Skyridge
#112</t>
  </si>
  <si>
    <t>Triumphant
#81</t>
  </si>
  <si>
    <t>Venomoth</t>
  </si>
  <si>
    <t>Unbroken Bonds
#12</t>
  </si>
  <si>
    <t>Triumphant
#11</t>
  </si>
  <si>
    <t>Silver Tempest
#002</t>
  </si>
  <si>
    <t>Unbroken Bonds
#193</t>
  </si>
  <si>
    <t>Diglett</t>
  </si>
  <si>
    <t>Dugtrio</t>
  </si>
  <si>
    <t>Meowth</t>
  </si>
  <si>
    <t>Persian</t>
  </si>
  <si>
    <t>Jungle
#42</t>
  </si>
  <si>
    <t>Ancient Origins
#62</t>
  </si>
  <si>
    <t>151
#053</t>
  </si>
  <si>
    <t>Sun &amp; Moon Promos
#SM182</t>
  </si>
  <si>
    <t>Psyduck</t>
  </si>
  <si>
    <t>Fossil
#53</t>
  </si>
  <si>
    <t>151
#175</t>
  </si>
  <si>
    <t>Wizards Black Star Promos
#20</t>
  </si>
  <si>
    <t>Unified Minds
#218</t>
  </si>
  <si>
    <t>Golduck</t>
  </si>
  <si>
    <t>Legendary Collection
#43</t>
  </si>
  <si>
    <t>Aquapolis
#50</t>
  </si>
  <si>
    <t>151
#055</t>
  </si>
  <si>
    <t>Team Up
#27</t>
  </si>
  <si>
    <t>Mankey</t>
  </si>
  <si>
    <t>Primeape</t>
  </si>
  <si>
    <t>Growlithe</t>
  </si>
  <si>
    <t>Arcanine</t>
  </si>
  <si>
    <t>Lost Origin
#TG08</t>
  </si>
  <si>
    <t>Sword &amp; Shield Promos
#SWSH304</t>
  </si>
  <si>
    <t>Poliwag</t>
  </si>
  <si>
    <t>Poliwhirl</t>
  </si>
  <si>
    <t>151
#176</t>
  </si>
  <si>
    <t>151
#061</t>
  </si>
  <si>
    <t>Unbroken Bonds
#38</t>
  </si>
  <si>
    <t>Lost Origin
#031</t>
  </si>
  <si>
    <t>Poliwrath</t>
  </si>
  <si>
    <t>Evolutions
#25</t>
  </si>
  <si>
    <t>Lost Origin
#085</t>
  </si>
  <si>
    <t>Unbroken Bonds
#39</t>
  </si>
  <si>
    <t>Unleashed
#21</t>
  </si>
  <si>
    <t>Abra</t>
  </si>
  <si>
    <t>Twilight Masquerade
#080</t>
  </si>
  <si>
    <t>Expedition
#93</t>
  </si>
  <si>
    <t>Legendary Collection
#67</t>
  </si>
  <si>
    <t>Team Rocket
#49</t>
  </si>
  <si>
    <t>Kadabra</t>
  </si>
  <si>
    <t>Alakazam</t>
  </si>
  <si>
    <t>Machop</t>
  </si>
  <si>
    <t>Machoke</t>
  </si>
  <si>
    <t>Machamp</t>
  </si>
  <si>
    <t>Bellsprout</t>
  </si>
  <si>
    <t>Celestial Storm
#1</t>
  </si>
  <si>
    <t>Aquapolis
#45</t>
  </si>
  <si>
    <t>Jungle
#49</t>
  </si>
  <si>
    <t>Guardians Rising
#1</t>
  </si>
  <si>
    <t>Weepinbell</t>
  </si>
  <si>
    <t>Victreebel</t>
  </si>
  <si>
    <t>Tentacool</t>
  </si>
  <si>
    <t>Tentacruel</t>
  </si>
  <si>
    <t>151
#073</t>
  </si>
  <si>
    <t>Aquapolis
#H26</t>
  </si>
  <si>
    <t>Team Up
#61</t>
  </si>
  <si>
    <t>Evolving Skies
#027</t>
  </si>
  <si>
    <t>Geodude</t>
  </si>
  <si>
    <t>Graveler</t>
  </si>
  <si>
    <t>Crown Zenith
#068</t>
  </si>
  <si>
    <t>Guardians Rising
#41</t>
  </si>
  <si>
    <t>Expedition
#79</t>
  </si>
  <si>
    <t>Dragon
#29</t>
  </si>
  <si>
    <t>Golem</t>
  </si>
  <si>
    <t>151
#076</t>
  </si>
  <si>
    <t>Generations
#45</t>
  </si>
  <si>
    <t>Generations
#46</t>
  </si>
  <si>
    <t>Fusion Strike
#137</t>
  </si>
  <si>
    <t>Ponyta</t>
  </si>
  <si>
    <t>Rapidash</t>
  </si>
  <si>
    <t>Sword &amp; Shield Promos
#SWSH270</t>
  </si>
  <si>
    <t>151
#78</t>
  </si>
  <si>
    <t>Chilling Reign
#168</t>
  </si>
  <si>
    <t>PTCGC - Charizard / Astral Radiance
#5 / 22</t>
  </si>
  <si>
    <t>Slowpoke</t>
  </si>
  <si>
    <t>Slowbro</t>
  </si>
  <si>
    <t>Magnemite</t>
  </si>
  <si>
    <t>Magneton</t>
  </si>
  <si>
    <t>Obsidian Flames
#064</t>
  </si>
  <si>
    <t>Astral Radiance
#106</t>
  </si>
  <si>
    <t>Unified Minds
#59</t>
  </si>
  <si>
    <t>Team Rocket
#28</t>
  </si>
  <si>
    <t>Farfetchd</t>
  </si>
  <si>
    <t>Brilliant Stars
#115</t>
  </si>
  <si>
    <t>151
#083</t>
  </si>
  <si>
    <t>Twilight Masquerade
#132</t>
  </si>
  <si>
    <t>Neo Revelation
#43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</si>
  <si>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</si>
  <si>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</si>
  <si>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</si>
  <si>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</si>
  <si>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</si>
  <si>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</si>
  <si>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</si>
  <si>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</si>
  <si>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</si>
  <si>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</si>
  <si>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Paldean Fates
#056</t>
  </si>
  <si>
    <t>Expedition
#80</t>
  </si>
  <si>
    <t>Temporal Forces
#103</t>
  </si>
  <si>
    <t>151
#093</t>
  </si>
  <si>
    <t>Gengar</t>
  </si>
  <si>
    <t>Onix</t>
  </si>
  <si>
    <t>Drowzee</t>
  </si>
  <si>
    <t>Hypno</t>
  </si>
  <si>
    <t>Krabby</t>
  </si>
  <si>
    <t>Kingler</t>
  </si>
  <si>
    <t>Voltorb</t>
  </si>
  <si>
    <t>Crown Zenith
#GG01</t>
  </si>
  <si>
    <t>151
#100</t>
  </si>
  <si>
    <t>Fusion Strike
#087</t>
  </si>
  <si>
    <t>Paldean Fates
#133</t>
  </si>
  <si>
    <t>Electrode</t>
  </si>
  <si>
    <t>Exeggcute</t>
  </si>
  <si>
    <t>Exeggutor</t>
  </si>
  <si>
    <t>Cubone</t>
  </si>
  <si>
    <t>Marowak</t>
  </si>
  <si>
    <t>Hitmonlee</t>
  </si>
  <si>
    <t>Hitmonchan</t>
  </si>
  <si>
    <t>151
#107</t>
  </si>
  <si>
    <t>Pokémon Trading Card Game Classic—Venusaur
#012</t>
  </si>
  <si>
    <t>Team Up
#74</t>
  </si>
  <si>
    <t>Evolving Skies
#081</t>
  </si>
  <si>
    <t>Lickitung</t>
  </si>
  <si>
    <t>Temporal Forces
#180</t>
  </si>
  <si>
    <t>FireRed &amp; LeafGreen
#37</t>
  </si>
  <si>
    <t>Koffing</t>
  </si>
  <si>
    <t>Weezing</t>
  </si>
  <si>
    <t>Rhyhorn</t>
  </si>
  <si>
    <t>Rhydon</t>
  </si>
  <si>
    <t>151
#112</t>
  </si>
  <si>
    <t>Gym Heroes
#2</t>
  </si>
  <si>
    <t>Burning Shadows
#66</t>
  </si>
  <si>
    <t>Unbroken Bonds
#94</t>
  </si>
  <si>
    <t>Chansey</t>
  </si>
  <si>
    <t>Tangela</t>
  </si>
  <si>
    <t>Kangaskhan</t>
  </si>
  <si>
    <t>Horsea</t>
  </si>
  <si>
    <t>Paradox Rift
#030</t>
  </si>
  <si>
    <t>Burning Shadows
#29</t>
  </si>
  <si>
    <t>Aquapolis
#84</t>
  </si>
  <si>
    <t>Neo Genesis
#62</t>
  </si>
  <si>
    <t>Seadra</t>
  </si>
  <si>
    <t>Goldeen</t>
  </si>
  <si>
    <t>Seaking</t>
  </si>
  <si>
    <t>Staryu</t>
  </si>
  <si>
    <t>151
#120</t>
  </si>
  <si>
    <t>Pokémon Trading Card Game Classic—Blastoise
#004</t>
  </si>
  <si>
    <t>Neo Revelation
#56</t>
  </si>
  <si>
    <t>Fusion Strike
#052</t>
  </si>
  <si>
    <t>Starmie</t>
  </si>
  <si>
    <t>Astral Radiance
#TG13</t>
  </si>
  <si>
    <t>151
#121</t>
  </si>
  <si>
    <t>Rumble
#5</t>
  </si>
  <si>
    <t>Paldean Fates
#119</t>
  </si>
  <si>
    <t>Mr-Mime</t>
  </si>
  <si>
    <t>151
#179</t>
  </si>
  <si>
    <t>151
#122</t>
  </si>
  <si>
    <t>Temporal Forces
#063</t>
  </si>
  <si>
    <t>Plasma Freeze
#47</t>
  </si>
  <si>
    <t>Scyther</t>
  </si>
  <si>
    <t>Jynx</t>
  </si>
  <si>
    <t>Electabuzz</t>
  </si>
  <si>
    <t>Magmar</t>
  </si>
  <si>
    <t>Pinsir</t>
  </si>
  <si>
    <t>Twilight Masquerade
#168</t>
  </si>
  <si>
    <t>Tauros</t>
  </si>
  <si>
    <t>Paldea Evolved
#028</t>
  </si>
  <si>
    <t>Sun &amp; Moon
#100</t>
  </si>
  <si>
    <t>Unified Minds
#164</t>
  </si>
  <si>
    <t>Legendary Collection
#65</t>
  </si>
  <si>
    <t>Magikarp</t>
  </si>
  <si>
    <t>Paldea Evolved
#203</t>
  </si>
  <si>
    <t>Team Up
#161</t>
  </si>
  <si>
    <t>Scarlet &amp; Violet
#044</t>
  </si>
  <si>
    <t>Paldea Evolved
#042</t>
  </si>
  <si>
    <t>Gyarados</t>
  </si>
  <si>
    <t>BREAKpoint
#123</t>
  </si>
  <si>
    <t>Ancient Origins
#21</t>
  </si>
  <si>
    <t>Stormfront
#19</t>
  </si>
  <si>
    <t>Team Rocket
#8</t>
  </si>
  <si>
    <t>Lapras</t>
  </si>
  <si>
    <t>Ditto</t>
  </si>
  <si>
    <t>Paldean Fates
#201</t>
  </si>
  <si>
    <t>Shining Fates
#SV118</t>
  </si>
  <si>
    <t>Crown Zenith
#GG22</t>
  </si>
  <si>
    <t>Pokemon GO
#53</t>
  </si>
  <si>
    <t>Eevee</t>
  </si>
  <si>
    <t>Crown Zenith
#108</t>
  </si>
  <si>
    <t>Sword &amp; Shield Promos
#SWSH230</t>
  </si>
  <si>
    <t>Brilliant Stars
#TG11</t>
  </si>
  <si>
    <t>Astral Radiance
#119</t>
  </si>
  <si>
    <t>Vaporeon</t>
  </si>
  <si>
    <t>Sword &amp; Shield Promos
#SWSH182</t>
  </si>
  <si>
    <t>Legendary Collection
#9</t>
  </si>
  <si>
    <t>Jungle
#28</t>
  </si>
  <si>
    <t>Sword &amp; Shield Promos
#SWSH150</t>
  </si>
  <si>
    <t>Jolteon</t>
  </si>
  <si>
    <t>Flareon</t>
  </si>
  <si>
    <t>Porygon</t>
  </si>
  <si>
    <t>Omanyte</t>
  </si>
  <si>
    <t>Omastar</t>
  </si>
  <si>
    <t>Kabuto</t>
  </si>
  <si>
    <t>151
#140</t>
  </si>
  <si>
    <t>Majestic Dawn
#67</t>
  </si>
  <si>
    <t>Arceus
#67</t>
  </si>
  <si>
    <t>Fates Collide
#38</t>
  </si>
  <si>
    <t>Kabutops</t>
  </si>
  <si>
    <t>Aerodactyl</t>
  </si>
  <si>
    <t>Snorlax</t>
  </si>
  <si>
    <t>Scarlet &amp; Violet Promos
#051</t>
  </si>
  <si>
    <t>Sun &amp; Moon Promos
#SM169</t>
  </si>
  <si>
    <t>Call of Legends
#33</t>
  </si>
  <si>
    <t>Articuno</t>
  </si>
  <si>
    <t>Chilling Reign
#170</t>
  </si>
  <si>
    <t>Sun &amp; Moon Promos
#SM144</t>
  </si>
  <si>
    <t>Generations
#25</t>
  </si>
  <si>
    <t>Skyridge
#4</t>
  </si>
  <si>
    <t>Zapdos</t>
  </si>
  <si>
    <t>151
#202</t>
  </si>
  <si>
    <t>Sword &amp; Shield Promos
#SWSH283</t>
  </si>
  <si>
    <t>Chilling Reign
#174</t>
  </si>
  <si>
    <t>Supreme Victors
#150</t>
  </si>
  <si>
    <t>Moltres</t>
  </si>
  <si>
    <t>Dratini</t>
  </si>
  <si>
    <t>Dragonair</t>
  </si>
  <si>
    <t>Dragonite</t>
  </si>
  <si>
    <t>151
#149</t>
  </si>
  <si>
    <t>Fossil
#19</t>
  </si>
  <si>
    <t>Evolutions
#106</t>
  </si>
  <si>
    <t>Dragon Majesty
#67</t>
  </si>
  <si>
    <t>Mewtwo</t>
  </si>
  <si>
    <t>Brilliant Stars
#056</t>
  </si>
  <si>
    <t>Crown Zenith
#GG44</t>
  </si>
  <si>
    <t>Scarlet &amp; Violet Promos
#052</t>
  </si>
  <si>
    <t>Rumble
#9</t>
  </si>
  <si>
    <t>Mew</t>
  </si>
  <si>
    <t>Celebrations
#025</t>
  </si>
  <si>
    <t>Paldean Fates
#232</t>
  </si>
  <si>
    <t>Legend Maker
#88</t>
  </si>
  <si>
    <t>Evolutions
#53</t>
  </si>
  <si>
    <t>Chikorita</t>
  </si>
  <si>
    <t>Bayleef</t>
  </si>
  <si>
    <t>BREAKpoint
#2</t>
  </si>
  <si>
    <t>Expedition
#71</t>
  </si>
  <si>
    <t>Neo Genesis
#28</t>
  </si>
  <si>
    <t>Neo Genesis
#29</t>
  </si>
  <si>
    <t>Meganium</t>
  </si>
  <si>
    <t>Neo Genesis
#10</t>
  </si>
  <si>
    <t>Unseen Forces
#106</t>
  </si>
  <si>
    <t>BREAKpoint
#3</t>
  </si>
  <si>
    <t>HeartGold &amp; SoulSilver
#26</t>
  </si>
  <si>
    <t>Cyndaquil</t>
  </si>
  <si>
    <t>BREAKthrough
#18</t>
  </si>
  <si>
    <t>Lost Thunder
#40</t>
  </si>
  <si>
    <t>Neo Destiny
#61</t>
  </si>
  <si>
    <t>Sword &amp; Shield Promos
#SWSH221</t>
  </si>
  <si>
    <t>Quilava</t>
  </si>
  <si>
    <t>Call of Legends
#49</t>
  </si>
  <si>
    <t>Sandstorm
#51</t>
  </si>
  <si>
    <t>Neo Destiny
#39</t>
  </si>
  <si>
    <t>Astral Radiance
#024</t>
  </si>
  <si>
    <t>Typhlosion</t>
  </si>
  <si>
    <t>Astral Radiance
#053</t>
  </si>
  <si>
    <t>Lost Thunder
#42</t>
  </si>
  <si>
    <t>Sandstorm
#99</t>
  </si>
  <si>
    <t>Expedition
#64</t>
  </si>
  <si>
    <t>Totodile</t>
  </si>
  <si>
    <t>Croconaw</t>
  </si>
  <si>
    <t>Feraligatr</t>
  </si>
  <si>
    <t>Scarlet &amp; Violet Promos
#089</t>
  </si>
  <si>
    <t>Call of Legends
#25</t>
  </si>
  <si>
    <t>Expedition
#47</t>
  </si>
  <si>
    <t>Fusion Strike
#057</t>
  </si>
  <si>
    <t>Sentret</t>
  </si>
  <si>
    <t>Furret</t>
  </si>
  <si>
    <t>Neo Genesis
#35</t>
  </si>
  <si>
    <t>HeartGold &amp; SoulSilver
#21</t>
  </si>
  <si>
    <t>Secret Wonders
#27</t>
  </si>
  <si>
    <t>Legend Maker
#33</t>
  </si>
  <si>
    <t>Hoothoot</t>
  </si>
  <si>
    <t>Astral Radiance
#TG12</t>
  </si>
  <si>
    <t>Temporal Forces
#126</t>
  </si>
  <si>
    <t>Neo Genesis
#60</t>
  </si>
  <si>
    <t>Plasma Freeze
#91</t>
  </si>
  <si>
    <t>Noctowl</t>
  </si>
  <si>
    <t>Ledyba</t>
  </si>
  <si>
    <t>Ledian</t>
  </si>
  <si>
    <t>Spinarak</t>
  </si>
  <si>
    <t>Ariados</t>
  </si>
  <si>
    <t>Crobat</t>
  </si>
  <si>
    <t>Lost Origin
#TG20</t>
  </si>
  <si>
    <t>Sword &amp; Shield Promos
#SWSH110</t>
  </si>
  <si>
    <t>Phantom Forces
#33</t>
  </si>
  <si>
    <t>Black &amp; White Promos
#BW51</t>
  </si>
  <si>
    <t>Chinchou</t>
  </si>
  <si>
    <t>Lanturn</t>
  </si>
  <si>
    <t>Sword &amp; Shield
#069</t>
  </si>
  <si>
    <t>Evolving Skies
#053</t>
  </si>
  <si>
    <t>Paldean Fates
#021</t>
  </si>
  <si>
    <t>Silver Tempest
#052</t>
  </si>
  <si>
    <t>Pichu</t>
  </si>
  <si>
    <t>Cleffa</t>
  </si>
  <si>
    <t>Igglybuff</t>
  </si>
  <si>
    <t>Cosmic Eclipse
#143a</t>
  </si>
  <si>
    <t>Cosmic Eclipse
#143</t>
  </si>
  <si>
    <t>Cosmic Eclipse
#168</t>
  </si>
  <si>
    <t>Neo Discovery
#40</t>
  </si>
  <si>
    <t>Togepi</t>
  </si>
  <si>
    <t>Togetic</t>
  </si>
  <si>
    <t>Sword &amp; Shield Promos
#SWSH276</t>
  </si>
  <si>
    <t>Team Rocket Returns
#14</t>
  </si>
  <si>
    <t>Neo Destiny
#15</t>
  </si>
  <si>
    <t>Unbroken Bonds
#137</t>
  </si>
  <si>
    <t>Natu</t>
  </si>
  <si>
    <t>Xatu</t>
  </si>
  <si>
    <t>Paradox Rift
#072</t>
  </si>
  <si>
    <t>Paldean Fates
#026</t>
  </si>
  <si>
    <t>Pokémon GO
#033</t>
  </si>
  <si>
    <t>Neo Discovery
#52</t>
  </si>
  <si>
    <t>Mareep</t>
  </si>
  <si>
    <t>Flaaffy</t>
  </si>
  <si>
    <t>Silver Tempest
#TG03</t>
  </si>
  <si>
    <t>Scarlet &amp; Violet
#067</t>
  </si>
  <si>
    <t>Scarlet &amp; Violet Promos
#108</t>
  </si>
  <si>
    <t>Evolving Skies
#055</t>
  </si>
  <si>
    <t>Ampharos</t>
  </si>
  <si>
    <t>Vivid Voltage
#049</t>
  </si>
  <si>
    <t>Evolving Skies
#056</t>
  </si>
  <si>
    <t>Darkness Ablaze
#057</t>
  </si>
  <si>
    <t>Steam Siege
#40</t>
  </si>
  <si>
    <t>Bellossom</t>
  </si>
  <si>
    <t>Crown Zenith
#003</t>
  </si>
  <si>
    <t>Unseen Forces
#3</t>
  </si>
  <si>
    <t>Aquapolis
#5</t>
  </si>
  <si>
    <t>Neo Genesis
#3</t>
  </si>
  <si>
    <t>Marill</t>
  </si>
  <si>
    <t>Paldea Evolved
#204</t>
  </si>
  <si>
    <t>Fusion Strike
#058</t>
  </si>
  <si>
    <t>Team Rocket Returns
#68</t>
  </si>
  <si>
    <t>Paldea Evolved
#044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</si>
  <si>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</si>
  <si>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</si>
  <si>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</si>
  <si>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</si>
  <si>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</si>
  <si>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</si>
  <si>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</si>
  <si>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</si>
  <si>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</si>
  <si>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Twilight Masquerade
#169</t>
  </si>
  <si>
    <t>Yanma</t>
  </si>
  <si>
    <t>Wooper</t>
  </si>
  <si>
    <t>Paldea Evolved
#221</t>
  </si>
  <si>
    <t>Scarlet &amp; Violet Promos
#041</t>
  </si>
  <si>
    <t>Vivid Voltage
#083</t>
  </si>
  <si>
    <t>Unbroken Bonds
#96</t>
  </si>
  <si>
    <t>Quagsire</t>
  </si>
  <si>
    <t>Dragon Majesty
#SV10</t>
  </si>
  <si>
    <t>Neo Genesis
#45</t>
  </si>
  <si>
    <t>Unbroken Bonds
#97</t>
  </si>
  <si>
    <t>Rising Rivals
#76</t>
  </si>
  <si>
    <t>Espeon</t>
  </si>
  <si>
    <t>Umbreon</t>
  </si>
  <si>
    <t>Murkrow</t>
  </si>
  <si>
    <t>Slowking</t>
  </si>
  <si>
    <t>Misdreavus</t>
  </si>
  <si>
    <t>Unown</t>
  </si>
  <si>
    <t>Wobbuffet</t>
  </si>
  <si>
    <t>Lost Thunder
#93</t>
  </si>
  <si>
    <t>Diamond &amp; Pearl
#41</t>
  </si>
  <si>
    <t>Sword &amp; Shield
#191</t>
  </si>
  <si>
    <t>Evolving Skies
#066</t>
  </si>
  <si>
    <t>Girafarig</t>
  </si>
  <si>
    <t>Pineco</t>
  </si>
  <si>
    <t>Forretress</t>
  </si>
  <si>
    <t>Dunsparce</t>
  </si>
  <si>
    <t>Crown Zenith
#GG23</t>
  </si>
  <si>
    <t>Gligar</t>
  </si>
  <si>
    <t>Steelix</t>
  </si>
  <si>
    <t>Snubbull</t>
  </si>
  <si>
    <t>Granbull</t>
  </si>
  <si>
    <t>Qwilfish</t>
  </si>
  <si>
    <t>Scizor</t>
  </si>
  <si>
    <t>Shuckle</t>
  </si>
  <si>
    <t>Obsidian Flames
#005</t>
  </si>
  <si>
    <t>Lost Thunder
#17</t>
  </si>
  <si>
    <t>Rebel Clash
#005</t>
  </si>
  <si>
    <t>Lost Thunder
#16</t>
  </si>
  <si>
    <t>Heracross</t>
  </si>
  <si>
    <t>Sneasel</t>
  </si>
  <si>
    <t>Paldean Fates
#182</t>
  </si>
  <si>
    <t>Astral Radiance
#092</t>
  </si>
  <si>
    <t>Neo Revelation
#24</t>
  </si>
  <si>
    <t>Aquapolis
#110</t>
  </si>
  <si>
    <t>Teddiursa</t>
  </si>
  <si>
    <t>Ursaring</t>
  </si>
  <si>
    <t>Slugma</t>
  </si>
  <si>
    <t>Twilight Masquerade
#028</t>
  </si>
  <si>
    <t>Celestial Storm
#23</t>
  </si>
  <si>
    <t>Skyridge
#98</t>
  </si>
  <si>
    <t>Primal Clash
#22</t>
  </si>
  <si>
    <t>Magcargo</t>
  </si>
  <si>
    <t>Swinub</t>
  </si>
  <si>
    <t>Piloswine</t>
  </si>
  <si>
    <t>Corsola</t>
  </si>
  <si>
    <t>Remoraid</t>
  </si>
  <si>
    <t>Octillery</t>
  </si>
  <si>
    <t>Brilliant Stars
#TG03</t>
  </si>
  <si>
    <t>Sword &amp; Shield Promos
#SWSH089</t>
  </si>
  <si>
    <t>Paradox Rift
#034</t>
  </si>
  <si>
    <t>Team Rocket Returns
#8</t>
  </si>
  <si>
    <t>Delibird</t>
  </si>
  <si>
    <t>Mantine</t>
  </si>
  <si>
    <t>Skarmory</t>
  </si>
  <si>
    <t>Houndour</t>
  </si>
  <si>
    <t>Obsidian Flames
#204</t>
  </si>
  <si>
    <t>Team Rocket Returns
#60</t>
  </si>
  <si>
    <t>Neo Discovery
#24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</si>
  <si>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</si>
  <si>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</si>
  <si>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</si>
  <si>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</si>
  <si>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</si>
  <si>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</si>
  <si>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</si>
  <si>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</si>
  <si>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</si>
  <si>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Lost Thunder
#113</t>
  </si>
  <si>
    <t>Vivid Voltage
#088</t>
  </si>
  <si>
    <t>Unbroken Bonds
#101</t>
  </si>
  <si>
    <t>Aquapolis
#82</t>
  </si>
  <si>
    <t>Smoochum</t>
  </si>
  <si>
    <t>Elekid</t>
  </si>
  <si>
    <t>Magby</t>
  </si>
  <si>
    <t>Paradox Rift
#186</t>
  </si>
  <si>
    <t>Mysterious Treasures
#88</t>
  </si>
  <si>
    <t>Paradox Rift
#019</t>
  </si>
  <si>
    <t>Team Rocket Returns
#24</t>
  </si>
  <si>
    <t>Miltank</t>
  </si>
  <si>
    <t>Paradox Rift
#147</t>
  </si>
  <si>
    <t>Crown Zenith
#GG24</t>
  </si>
  <si>
    <t>Crimson Invasion
#78</t>
  </si>
  <si>
    <t>Plasma Freeze
#93</t>
  </si>
  <si>
    <t>Blissey</t>
  </si>
  <si>
    <t>Raikou</t>
  </si>
  <si>
    <t>Entei</t>
  </si>
  <si>
    <t>Suicune</t>
  </si>
  <si>
    <t>Larvitar</t>
  </si>
  <si>
    <t>Obsidian Flames
#203</t>
  </si>
  <si>
    <t>Paldea Evolved
#110</t>
  </si>
  <si>
    <t>Obsidian Flames
#105</t>
  </si>
  <si>
    <t>Expedition
#116</t>
  </si>
  <si>
    <t>Pupitar</t>
  </si>
  <si>
    <t>Tyranitar</t>
  </si>
  <si>
    <t>Lugia</t>
  </si>
  <si>
    <t>Ho-Oh</t>
  </si>
  <si>
    <t>Celebi</t>
  </si>
  <si>
    <t>Fusion Strike
#245</t>
  </si>
  <si>
    <t>Sun &amp; Moon Promos
#SM79</t>
  </si>
  <si>
    <t>Vivid Voltage
#009</t>
  </si>
  <si>
    <t>Unified Minds
#4</t>
  </si>
  <si>
    <t>Treecko</t>
  </si>
  <si>
    <t>Lost Thunder
#20</t>
  </si>
  <si>
    <t>McDonald’s Collection 2021
#3</t>
  </si>
  <si>
    <t>Crystal Guardians
#68</t>
  </si>
  <si>
    <t>Celestial Storm
#7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</si>
  <si>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</si>
  <si>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</si>
  <si>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</si>
  <si>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</si>
  <si>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</si>
  <si>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</si>
  <si>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</si>
  <si>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</si>
  <si>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</si>
  <si>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Double Crisis
#17</t>
  </si>
  <si>
    <t>Astral Radiance
#095</t>
  </si>
  <si>
    <t>Vivid Voltage
#103</t>
  </si>
  <si>
    <t>Deoxys
#70</t>
  </si>
  <si>
    <t>Mightyena</t>
  </si>
  <si>
    <t>Zigzagoon</t>
  </si>
  <si>
    <t>Linoone</t>
  </si>
  <si>
    <t>Wurmple</t>
  </si>
  <si>
    <t>Silcoon</t>
  </si>
  <si>
    <t>Beautifly</t>
  </si>
  <si>
    <t>Lost Origin
#008</t>
  </si>
  <si>
    <t>Dragons Exalted
#8</t>
  </si>
  <si>
    <t>Lost Thunder
#26</t>
  </si>
  <si>
    <t>Diamond &amp; Pearl
#19</t>
  </si>
  <si>
    <t>Cascoon</t>
  </si>
  <si>
    <t>Dustox</t>
  </si>
  <si>
    <t>Lost Thunder
#28</t>
  </si>
  <si>
    <t>Roaring Skies
#7</t>
  </si>
  <si>
    <t>Roaring Skies
#8</t>
  </si>
  <si>
    <t>Platinum
#25</t>
  </si>
  <si>
    <t>Lotad</t>
  </si>
  <si>
    <t>Lombre</t>
  </si>
  <si>
    <t>Evolving Skies
#033</t>
  </si>
  <si>
    <t>XY Trainer Kit—Latias
#21</t>
  </si>
  <si>
    <t>Sandstorm
#45</t>
  </si>
  <si>
    <t>Plasma Storm
#30</t>
  </si>
  <si>
    <t>Ludicolo</t>
  </si>
  <si>
    <t>Seedot</t>
  </si>
  <si>
    <t>Nuzleaf</t>
  </si>
  <si>
    <t>Shiftry</t>
  </si>
  <si>
    <t>Taillow</t>
  </si>
  <si>
    <t>Ruby &amp; Sapphire
#72</t>
  </si>
  <si>
    <t>XY Trainer Kit—Pikachu Libre
#7</t>
  </si>
  <si>
    <t>Legends Awakened
#124</t>
  </si>
  <si>
    <t>XY
#102</t>
  </si>
  <si>
    <t>Swellow</t>
  </si>
  <si>
    <t>Wingull</t>
  </si>
  <si>
    <t>Pelipper</t>
  </si>
  <si>
    <t>Ralts</t>
  </si>
  <si>
    <t>Kirlia</t>
  </si>
  <si>
    <t>Scarlet &amp; Violet
#212</t>
  </si>
  <si>
    <t>Astral Radiance
#061</t>
  </si>
  <si>
    <t>Paldean Fates
#154</t>
  </si>
  <si>
    <t>Silver Tempest
#068</t>
  </si>
  <si>
    <t>Gardevoir</t>
  </si>
  <si>
    <t>Surskit</t>
  </si>
  <si>
    <t>Obsidian Flames
#006</t>
  </si>
  <si>
    <t>Paradox Rift
#001</t>
  </si>
  <si>
    <t>Plasma Blast
#1</t>
  </si>
  <si>
    <t>Hidden Legends
#76</t>
  </si>
  <si>
    <t>Masquerain</t>
  </si>
  <si>
    <t>Shroomish</t>
  </si>
  <si>
    <t>Breloom</t>
  </si>
  <si>
    <t>Slakoth</t>
  </si>
  <si>
    <t>Evolving Skies
#129</t>
  </si>
  <si>
    <t>Dragons Exalted
#101</t>
  </si>
  <si>
    <t>Unified Minds
#168</t>
  </si>
  <si>
    <t>Paldea Evolved
#160</t>
  </si>
  <si>
    <t>Vigoroth</t>
  </si>
  <si>
    <t>Slaking</t>
  </si>
  <si>
    <t>Nincada</t>
  </si>
  <si>
    <t>Ninjask</t>
  </si>
  <si>
    <t>Shedinja</t>
  </si>
  <si>
    <t>Whismur</t>
  </si>
  <si>
    <t>Loudred</t>
  </si>
  <si>
    <t>Paradox Rift
#212</t>
  </si>
  <si>
    <t>Exploud</t>
  </si>
  <si>
    <t>Makuhita</t>
  </si>
  <si>
    <t>Hariyama</t>
  </si>
  <si>
    <t>Azurill</t>
  </si>
  <si>
    <t>Cosmic Eclipse
#146</t>
  </si>
  <si>
    <t>Delta Species
#20</t>
  </si>
  <si>
    <t>Sandstorm
#31</t>
  </si>
  <si>
    <t>Diamond &amp; Pearl
#69</t>
  </si>
  <si>
    <t>Nosepass</t>
  </si>
  <si>
    <t>Skitty</t>
  </si>
  <si>
    <t>Delcatty</t>
  </si>
  <si>
    <t>Darkness Ablaze
#142</t>
  </si>
  <si>
    <t>Fusion Strike
#211</t>
  </si>
  <si>
    <t>Crystal Guardians
#91</t>
  </si>
  <si>
    <t>Sun &amp; Moon Promos
#SM132</t>
  </si>
  <si>
    <t>Sableye</t>
  </si>
  <si>
    <t>Mawile</t>
  </si>
  <si>
    <t>Aron</t>
  </si>
  <si>
    <t>Lairon</t>
  </si>
  <si>
    <t>Aggron</t>
  </si>
  <si>
    <t>Twilight Masquerade
#122</t>
  </si>
  <si>
    <t>Brilliant Stars
#096</t>
  </si>
  <si>
    <t>Darkness Ablaze
#123</t>
  </si>
  <si>
    <t>Crystal Guardians
#89</t>
  </si>
  <si>
    <t>Meditite</t>
  </si>
  <si>
    <t>Lost Origin
#099</t>
  </si>
  <si>
    <t>Temporal Forces
#082</t>
  </si>
  <si>
    <t>Rebel Clash
#097</t>
  </si>
  <si>
    <t>Crystal Guardians
#56</t>
  </si>
  <si>
    <t>Medicham</t>
  </si>
  <si>
    <t>Electrike</t>
  </si>
  <si>
    <t>Roaring Skies
#24</t>
  </si>
  <si>
    <t>Vivid Voltage
#051</t>
  </si>
  <si>
    <t>Primal Clash
#60</t>
  </si>
  <si>
    <t>Darkness Ablaze
#058</t>
  </si>
  <si>
    <t>Manectric</t>
  </si>
  <si>
    <t>Plusle</t>
  </si>
  <si>
    <t>Minun</t>
  </si>
  <si>
    <t>Paradox Rift
#194</t>
  </si>
  <si>
    <t>Fusion Strike
#090</t>
  </si>
  <si>
    <t>Paradox Rift
#061</t>
  </si>
  <si>
    <t>Celestial Storm
#54</t>
  </si>
  <si>
    <t>Volbeat</t>
  </si>
  <si>
    <t>Illumise</t>
  </si>
  <si>
    <t>Roselia</t>
  </si>
  <si>
    <t>Gulpin</t>
  </si>
  <si>
    <t>Generations
#RC12</t>
  </si>
  <si>
    <t>Phantom Forces
#37</t>
  </si>
  <si>
    <t>Arceus
#66</t>
  </si>
  <si>
    <t>Emerald
#51</t>
  </si>
  <si>
    <t>Swalot</t>
  </si>
  <si>
    <t>Phantom Forces
#38</t>
  </si>
  <si>
    <t>Arceus
#9</t>
  </si>
  <si>
    <t>Legends Awakened
#72</t>
  </si>
  <si>
    <t>Celestial Storm
#58</t>
  </si>
  <si>
    <t>Carvanha</t>
  </si>
  <si>
    <t>Sharpedo</t>
  </si>
  <si>
    <t>Wailmer</t>
  </si>
  <si>
    <t>Cosmic Eclipse
#45</t>
  </si>
  <si>
    <t>Silver Tempest
#037</t>
  </si>
  <si>
    <t>Crown Zenith
#031</t>
  </si>
  <si>
    <t>Guardians Rising
#29</t>
  </si>
  <si>
    <t>Wailord</t>
  </si>
  <si>
    <t>Numel</t>
  </si>
  <si>
    <t>Camerupt</t>
  </si>
  <si>
    <t>Obsidian Flames
#032</t>
  </si>
  <si>
    <t>Paldean Fates
#012</t>
  </si>
  <si>
    <t>Double Crisis
#2</t>
  </si>
  <si>
    <t>Deoxys
#4</t>
  </si>
  <si>
    <t>Torkoal</t>
  </si>
  <si>
    <t>Cosmic Eclipse
#237</t>
  </si>
  <si>
    <t>Twilight Masquerade
#172</t>
  </si>
  <si>
    <t>Spoink</t>
  </si>
  <si>
    <t>Grumpig</t>
  </si>
  <si>
    <t>Spinda</t>
  </si>
  <si>
    <t>Trapinch</t>
  </si>
  <si>
    <t>Vibrava</t>
  </si>
  <si>
    <t>Flygon</t>
  </si>
  <si>
    <t>Brilliant Stars
#106</t>
  </si>
  <si>
    <t>Cacnea</t>
  </si>
  <si>
    <t>Cacturne</t>
  </si>
  <si>
    <t>Swablu</t>
  </si>
  <si>
    <t>Paradox Rift
#213</t>
  </si>
  <si>
    <t>Crown Zenith
#GG27</t>
  </si>
  <si>
    <t>Paradox Rift
#152</t>
  </si>
  <si>
    <t>Dragon Majesty
#57</t>
  </si>
  <si>
    <t>Altaria</t>
  </si>
  <si>
    <t>Zangoose</t>
  </si>
  <si>
    <t>Seviper</t>
  </si>
  <si>
    <t>Lunatone</t>
  </si>
  <si>
    <t>Crown Zenith
#GG11</t>
  </si>
  <si>
    <t>Obsidian Flames
#092</t>
  </si>
  <si>
    <t>Solrock</t>
  </si>
  <si>
    <t>Crown Zenith
#GG15</t>
  </si>
  <si>
    <t>Celestial Storm
#62</t>
  </si>
  <si>
    <t>Pokémon GO
#039</t>
  </si>
  <si>
    <t>Legend Maker
#25</t>
  </si>
  <si>
    <t>Barboach</t>
  </si>
  <si>
    <t>Whiscash</t>
  </si>
  <si>
    <t>Corphish</t>
  </si>
  <si>
    <t>Crawdaunt</t>
  </si>
  <si>
    <t>Baltoy</t>
  </si>
  <si>
    <t>Obsidian Flames
#094</t>
  </si>
  <si>
    <t>Crown Zenith
#070</t>
  </si>
  <si>
    <t>Ancient Origins
#32</t>
  </si>
  <si>
    <t>Brilliant Stars
#058</t>
  </si>
  <si>
    <t>Claydol</t>
  </si>
  <si>
    <t>Sword &amp; Shield
#103</t>
  </si>
  <si>
    <t>Double Crisis
#11</t>
  </si>
  <si>
    <t>Power Keepers
#93</t>
  </si>
  <si>
    <t>Obsidian Flames
#095</t>
  </si>
  <si>
    <t>Lileep</t>
  </si>
  <si>
    <t>Cradily</t>
  </si>
  <si>
    <t>Anorith</t>
  </si>
  <si>
    <t>Cosmic Eclipse
#111</t>
  </si>
  <si>
    <t>Steam Siege
#56</t>
  </si>
  <si>
    <t>Power Keepers
#26</t>
  </si>
  <si>
    <t>Silver Tempest
#095</t>
  </si>
  <si>
    <t>Armaldo</t>
  </si>
  <si>
    <t>Feebas</t>
  </si>
  <si>
    <t>Milotic</t>
  </si>
  <si>
    <t>Castform</t>
  </si>
  <si>
    <t>Lost Origin
#TG11</t>
  </si>
  <si>
    <t>Kecleon</t>
  </si>
  <si>
    <t>Shuppet</t>
  </si>
  <si>
    <t>Banette</t>
  </si>
  <si>
    <t>Duskull</t>
  </si>
  <si>
    <t>Shrouded Fable
#N/A</t>
  </si>
  <si>
    <t>Crown Zenith
#GG28</t>
  </si>
  <si>
    <t>Vivid Voltage
#69</t>
  </si>
  <si>
    <t>Brilliant Stars
#60</t>
  </si>
  <si>
    <t>Dusclops</t>
  </si>
  <si>
    <t>Crown Zenith
#63</t>
  </si>
  <si>
    <t>Burning Shadows
#52</t>
  </si>
  <si>
    <t>Boundaries Crossed
#62</t>
  </si>
  <si>
    <t>Tropius</t>
  </si>
  <si>
    <t>Chimecho</t>
  </si>
  <si>
    <t>Absol</t>
  </si>
  <si>
    <t>Crown Zenith
#GG16</t>
  </si>
  <si>
    <t>Team Up
#88</t>
  </si>
  <si>
    <t>Astral Radiance
#97</t>
  </si>
  <si>
    <t>Obsidian Flames
#214</t>
  </si>
  <si>
    <t>Wynaut</t>
  </si>
  <si>
    <t>Snorunt</t>
  </si>
  <si>
    <t>Glalie</t>
  </si>
  <si>
    <t>Spheal</t>
  </si>
  <si>
    <t>Sealeo</t>
  </si>
  <si>
    <t>Double Crisis
#4</t>
  </si>
  <si>
    <t>Primal Clash
#47</t>
  </si>
  <si>
    <t>Cosmic Eclipse
#51</t>
  </si>
  <si>
    <t>Mysterious Treasures
#62</t>
  </si>
  <si>
    <t>Walrein</t>
  </si>
  <si>
    <t>Flashfire
#26</t>
  </si>
  <si>
    <t>Double Crisis
#5</t>
  </si>
  <si>
    <t>Primal Clash
#48</t>
  </si>
  <si>
    <t>Mysterious Treasures
#39</t>
  </si>
  <si>
    <t>Clamperl</t>
  </si>
  <si>
    <t>Huntail</t>
  </si>
  <si>
    <t>Celestial Storm
#42</t>
  </si>
  <si>
    <t>Great Encounters
#42</t>
  </si>
  <si>
    <t>Legend Maker
#18</t>
  </si>
  <si>
    <t>Fusion Strike
#066</t>
  </si>
  <si>
    <t>Gorebyss</t>
  </si>
  <si>
    <t>Primal Clash
#52</t>
  </si>
  <si>
    <t>Celestial Storm
#43</t>
  </si>
  <si>
    <t>Fusion Strike
#067</t>
  </si>
  <si>
    <t>Legend Maker
#17</t>
  </si>
  <si>
    <t>Relicanth</t>
  </si>
  <si>
    <t>Luvdisc</t>
  </si>
  <si>
    <t>Bagon</t>
  </si>
  <si>
    <t>Shelgon</t>
  </si>
  <si>
    <t>Salamence</t>
  </si>
  <si>
    <t>Plasma Blast
#64</t>
  </si>
  <si>
    <t>Sun &amp; Moon Promos
#SM140</t>
  </si>
  <si>
    <t>Dragon Majesty
#44</t>
  </si>
  <si>
    <t>Darkness Ablaze
#143</t>
  </si>
  <si>
    <t>Beldum</t>
  </si>
  <si>
    <t>Guardians Rising
#SV30</t>
  </si>
  <si>
    <t>Silver Tempest
#117</t>
  </si>
  <si>
    <t>Vivid Voltage
#116</t>
  </si>
  <si>
    <t>Plasma Freeze
#50</t>
  </si>
  <si>
    <t>Metang</t>
  </si>
  <si>
    <t>Temporal Forces
#114</t>
  </si>
  <si>
    <t>Guardians Rising
#SV31</t>
  </si>
  <si>
    <t>Delta Species
#49</t>
  </si>
  <si>
    <t>Crown Zenith
#090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</si>
  <si>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</si>
  <si>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</si>
  <si>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</si>
  <si>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</si>
  <si>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</si>
  <si>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</si>
  <si>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</si>
  <si>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</si>
  <si>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</si>
  <si>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</si>
  <si>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</si>
  <si>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Crown Zenith
#GG12</t>
  </si>
  <si>
    <t>Crown Zenith
#GG45</t>
  </si>
  <si>
    <t>Crown Zenith
#GG46</t>
  </si>
  <si>
    <t>Plasma Freeze
#111</t>
  </si>
  <si>
    <t>Turtwig</t>
  </si>
  <si>
    <t>Crown Zenith
#GG31</t>
  </si>
  <si>
    <t>Grotle</t>
  </si>
  <si>
    <t>Torterra</t>
  </si>
  <si>
    <t>Chimchar</t>
  </si>
  <si>
    <t>Twilight Masquerade
#031</t>
  </si>
  <si>
    <t>Brilliant Stars
#024</t>
  </si>
  <si>
    <t>Ultra Prism
#21</t>
  </si>
  <si>
    <t>Steam Siege
#18</t>
  </si>
  <si>
    <t>Monferno</t>
  </si>
  <si>
    <t>Twilight Masquerade
#032</t>
  </si>
  <si>
    <t>Ultra Prism
#22</t>
  </si>
  <si>
    <t>Platinum
#56</t>
  </si>
  <si>
    <t>Majestic Dawn
#41</t>
  </si>
  <si>
    <t>Infernape</t>
  </si>
  <si>
    <t>Piplup</t>
  </si>
  <si>
    <t>Prinplup</t>
  </si>
  <si>
    <t>Empoleon</t>
  </si>
  <si>
    <t>Starly</t>
  </si>
  <si>
    <t>Staravia</t>
  </si>
  <si>
    <t>Staraptor</t>
  </si>
  <si>
    <t>Darkness Ablaze
#147</t>
  </si>
  <si>
    <t>Plazma Freeze
#97</t>
  </si>
  <si>
    <t>Supreme Victors
#147</t>
  </si>
  <si>
    <t>Scarlet &amp; Violet
#150</t>
  </si>
  <si>
    <t>Bidoof</t>
  </si>
  <si>
    <t>Crown Zenith
#GG29</t>
  </si>
  <si>
    <t>Crown Zenith
#111</t>
  </si>
  <si>
    <t>Brilliant Stars
#120</t>
  </si>
  <si>
    <t>Stormfront
#54</t>
  </si>
  <si>
    <t>Bibarel</t>
  </si>
  <si>
    <t>Kricketot</t>
  </si>
  <si>
    <t>Kricketune</t>
  </si>
  <si>
    <t>Battle Styles
#142</t>
  </si>
  <si>
    <t>Silver Tempest
#TG12</t>
  </si>
  <si>
    <t>Crown Zenith
#GG02</t>
  </si>
  <si>
    <t>Triumphant
#24</t>
  </si>
  <si>
    <t>Shinx</t>
  </si>
  <si>
    <t>Luxio</t>
  </si>
  <si>
    <t>Luxray</t>
  </si>
  <si>
    <t>Budew</t>
  </si>
  <si>
    <t>Roserade</t>
  </si>
  <si>
    <t>Lost Origin
#TG02</t>
  </si>
  <si>
    <t>Cranidos</t>
  </si>
  <si>
    <t>Rampardos</t>
  </si>
  <si>
    <t>Shieldon</t>
  </si>
  <si>
    <t>Bastiodon</t>
  </si>
  <si>
    <t>Rumble
#14</t>
  </si>
  <si>
    <t>Steam Siege
#70</t>
  </si>
  <si>
    <t>Ultra Prism
#85</t>
  </si>
  <si>
    <t>Astral Radiance
#110</t>
  </si>
  <si>
    <t>Burmy</t>
  </si>
  <si>
    <t>Brilliant Stars
#009</t>
  </si>
  <si>
    <t>Arceus
#57</t>
  </si>
  <si>
    <t>Arceus
#56</t>
  </si>
  <si>
    <t>Fates Collide
#2</t>
  </si>
  <si>
    <t>Wormadam-Plant</t>
  </si>
  <si>
    <t>Mothim</t>
  </si>
  <si>
    <t>Combee</t>
  </si>
  <si>
    <t>Astral Radiance
#011</t>
  </si>
  <si>
    <t>Paldea Evolved
#008</t>
  </si>
  <si>
    <t>Lost Thunder
#31</t>
  </si>
  <si>
    <t>Obsidian Flames
#008</t>
  </si>
  <si>
    <t>Vespiquen</t>
  </si>
  <si>
    <t>Pachirisu</t>
  </si>
  <si>
    <t>Buizel</t>
  </si>
  <si>
    <t>Floatzel</t>
  </si>
  <si>
    <t>Scarlet &amp; Violet
#047</t>
  </si>
  <si>
    <t>Flashfire
#29</t>
  </si>
  <si>
    <t>Rising Rivals
#4</t>
  </si>
  <si>
    <t>Unleashed
#16</t>
  </si>
  <si>
    <t>Cherubi</t>
  </si>
  <si>
    <t>Cherrim</t>
  </si>
  <si>
    <t>Shellos</t>
  </si>
  <si>
    <t>Lost Origin
#039</t>
  </si>
  <si>
    <t>Steam Siege
#28</t>
  </si>
  <si>
    <t>Crimson Invasion
#29</t>
  </si>
  <si>
    <t>Rising Rivals
#79</t>
  </si>
  <si>
    <t>Gastrodon</t>
  </si>
  <si>
    <t>Ambipom</t>
  </si>
  <si>
    <t>Drifloon</t>
  </si>
  <si>
    <t>Drifblim</t>
  </si>
  <si>
    <t>Buneary</t>
  </si>
  <si>
    <t>Lopunny</t>
  </si>
  <si>
    <t>Mismagius</t>
  </si>
  <si>
    <t>Paldea Evolved
#212</t>
  </si>
  <si>
    <t>Paldea Evolved
#088</t>
  </si>
  <si>
    <t>Legendary Treasures
#58</t>
  </si>
  <si>
    <t>Astral Radiance
#059</t>
  </si>
  <si>
    <t>Honchkrow</t>
  </si>
  <si>
    <t>Glameow</t>
  </si>
  <si>
    <t>Unbroken Bonds
#159</t>
  </si>
  <si>
    <t>Ultra Prism
#108</t>
  </si>
  <si>
    <t>Battle Styles
#115</t>
  </si>
  <si>
    <t>Astral Radiance
#127</t>
  </si>
  <si>
    <t>Purugly</t>
  </si>
  <si>
    <t>Chingling</t>
  </si>
  <si>
    <t>Stunky</t>
  </si>
  <si>
    <t>Skuntank</t>
  </si>
  <si>
    <t>Rebel Clash
#115</t>
  </si>
  <si>
    <t>Rumble
#13</t>
  </si>
  <si>
    <t>Silver Tempest
#181</t>
  </si>
  <si>
    <t>Dragons Exalted
#77</t>
  </si>
  <si>
    <t>Bronzor</t>
  </si>
  <si>
    <t>Bronzong</t>
  </si>
  <si>
    <t>Bonsly</t>
  </si>
  <si>
    <t>Mime-Jr</t>
  </si>
  <si>
    <t>Paldean Fates
#031</t>
  </si>
  <si>
    <t>Call of Legends
#47</t>
  </si>
  <si>
    <t>Paldean Fates
#157</t>
  </si>
  <si>
    <t>Happiny</t>
  </si>
  <si>
    <t>Chatot</t>
  </si>
  <si>
    <t>Spiritomb</t>
  </si>
  <si>
    <t>Gible</t>
  </si>
  <si>
    <t>Gabite</t>
  </si>
  <si>
    <t>Legendary Treasures
#95</t>
  </si>
  <si>
    <t>Paradox Rift
#095</t>
  </si>
  <si>
    <t>Dragons Exalted
#88</t>
  </si>
  <si>
    <t>Unified Minds
#113</t>
  </si>
  <si>
    <t>Garchomp</t>
  </si>
  <si>
    <t>Astral Radiance
#TG23</t>
  </si>
  <si>
    <t>Paradox Rift
#245</t>
  </si>
  <si>
    <t>Forbidden Light
#62</t>
  </si>
  <si>
    <t>Brilliant Stars
#109</t>
  </si>
  <si>
    <t>Munchlax</t>
  </si>
  <si>
    <t>Riolu</t>
  </si>
  <si>
    <t>Lucario</t>
  </si>
  <si>
    <t>Hippopotas</t>
  </si>
  <si>
    <t>Hippowdon</t>
  </si>
  <si>
    <t>Darkness Ablaze
#094</t>
  </si>
  <si>
    <t>Astral Radiance
#080</t>
  </si>
  <si>
    <t>Evolving Skies
#085</t>
  </si>
  <si>
    <t>Primal Clash
#88</t>
  </si>
  <si>
    <t>Skorupi</t>
  </si>
  <si>
    <t>Sword &amp; Shield
#121</t>
  </si>
  <si>
    <t>Furious Fists
#38</t>
  </si>
  <si>
    <t>Supreme Victors
#128</t>
  </si>
  <si>
    <t>Ultra Prism
#54</t>
  </si>
  <si>
    <t>Drapion</t>
  </si>
  <si>
    <t>Crown Zenith
#GG49</t>
  </si>
  <si>
    <t>Croagunk</t>
  </si>
  <si>
    <t>Toxicroak</t>
  </si>
  <si>
    <t>Carnivine</t>
  </si>
  <si>
    <t>Finneon</t>
  </si>
  <si>
    <t>Lost Origin
#040</t>
  </si>
  <si>
    <t>Phantom Forces
#18</t>
  </si>
  <si>
    <t>Unified Minds
#39</t>
  </si>
  <si>
    <t>Sword &amp; Shield Promos
#SWSH240</t>
  </si>
  <si>
    <t>Lumineon</t>
  </si>
  <si>
    <t>Crown Zenith
#GG39</t>
  </si>
  <si>
    <t>Brilliant Stars
#156</t>
  </si>
  <si>
    <t>Unified Minds
#40</t>
  </si>
  <si>
    <t>Brilliant Stars
#040</t>
  </si>
  <si>
    <t>Mantyke</t>
  </si>
  <si>
    <t>Snover</t>
  </si>
  <si>
    <t>Lost Origin
#042</t>
  </si>
  <si>
    <t>Paldea Evolved
#010</t>
  </si>
  <si>
    <t>BREAKthrough
#39</t>
  </si>
  <si>
    <t>Chilling Reign
#009</t>
  </si>
  <si>
    <t>Abomasnow</t>
  </si>
  <si>
    <t>Weavile</t>
  </si>
  <si>
    <t>Magnezone</t>
  </si>
  <si>
    <t>Lickilicky</t>
  </si>
  <si>
    <t>Rhyperior</t>
  </si>
  <si>
    <t>Tangrowth</t>
  </si>
  <si>
    <t>Electivire</t>
  </si>
  <si>
    <t>Crown Zenith
#GG08</t>
  </si>
  <si>
    <t>Lost Thunder
#72</t>
  </si>
  <si>
    <t>Temporal Forces
#054</t>
  </si>
  <si>
    <t>Rebel Clash
#059</t>
  </si>
  <si>
    <t>Magmortar</t>
  </si>
  <si>
    <t>Togekiss</t>
  </si>
  <si>
    <t>Yanmega</t>
  </si>
  <si>
    <t>Leafeon</t>
  </si>
  <si>
    <t>Glaceon</t>
  </si>
  <si>
    <t>Gliscor</t>
  </si>
  <si>
    <t>Paradox Rift
#092</t>
  </si>
  <si>
    <t>Lost Origin
#096</t>
  </si>
  <si>
    <t>Fusion Strike
#141</t>
  </si>
  <si>
    <t>Undaunted
#4</t>
  </si>
  <si>
    <t>Mamoswine</t>
  </si>
  <si>
    <t>Porygon-Z</t>
  </si>
  <si>
    <t>Gallade</t>
  </si>
  <si>
    <t>Lost Origin
#TG19</t>
  </si>
  <si>
    <t>Sword &amp; Shield Promos
#SWSH258</t>
  </si>
  <si>
    <t>Chilling Reign
#081</t>
  </si>
  <si>
    <t>Cosmic Eclipse
#244</t>
  </si>
  <si>
    <t>Probopass</t>
  </si>
  <si>
    <t>Twilight Masquerade
#182</t>
  </si>
  <si>
    <t>Dusknoir</t>
  </si>
  <si>
    <t>Brilliant Stars
#TG06</t>
  </si>
  <si>
    <t>Brilliant Stars
#62</t>
  </si>
  <si>
    <t>Sun &amp; Moon Promos
#SM217</t>
  </si>
  <si>
    <t>Froslass</t>
  </si>
  <si>
    <t>Twilight Masquerade
#174</t>
  </si>
  <si>
    <t>Scarlet &amp; Violet Promos
#117</t>
  </si>
  <si>
    <t>Rotom</t>
  </si>
  <si>
    <t>Uxie</t>
  </si>
  <si>
    <t>Mesprit</t>
  </si>
  <si>
    <t>Azelf</t>
  </si>
  <si>
    <t>Dialga</t>
  </si>
  <si>
    <t>Palkia</t>
  </si>
  <si>
    <t>Heatran</t>
  </si>
  <si>
    <t>Sun &amp; Moon Promos
#SM96</t>
  </si>
  <si>
    <t>Twilight Masquerade
#123</t>
  </si>
  <si>
    <t>Rumble
#4</t>
  </si>
  <si>
    <t>Plasma Freeze
#13</t>
  </si>
  <si>
    <t>Regigigas</t>
  </si>
  <si>
    <t>Giratina-Altered</t>
  </si>
  <si>
    <t>Lost Origin
#131</t>
  </si>
  <si>
    <t>Ancient Origins
#57</t>
  </si>
  <si>
    <t>Black &amp; White Promos
#BW74</t>
  </si>
  <si>
    <t>Dragons Exalted
#124</t>
  </si>
  <si>
    <t>Cresselia</t>
  </si>
  <si>
    <t>Phione</t>
  </si>
  <si>
    <t>Twilight Masquerade
#175</t>
  </si>
  <si>
    <t>Sun &amp; Moon Promos
#SM220</t>
  </si>
  <si>
    <t>Silver Tempest
#45</t>
  </si>
  <si>
    <t>Twilight Masquerade
#55</t>
  </si>
  <si>
    <t>Manaphy</t>
  </si>
  <si>
    <t>Darkrai</t>
  </si>
  <si>
    <t>Crown Zenith
#GG50</t>
  </si>
  <si>
    <t>XY Promos
#XY114</t>
  </si>
  <si>
    <t>Burning Shadows
#88</t>
  </si>
  <si>
    <t>Dark Explorers
#63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</si>
  <si>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</si>
  <si>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</si>
  <si>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</si>
  <si>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</si>
  <si>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</si>
  <si>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</si>
  <si>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</si>
  <si>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</si>
  <si>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Black &amp; White
#18</t>
  </si>
  <si>
    <t>Legendary Treasures
#26</t>
  </si>
  <si>
    <t>Battle Styles
#024</t>
  </si>
  <si>
    <t>Cosmic Eclipse
#32</t>
  </si>
  <si>
    <t>Emboar</t>
  </si>
  <si>
    <t>Oshawott</t>
  </si>
  <si>
    <t>Dewott</t>
  </si>
  <si>
    <t>Astral Radiance
#042</t>
  </si>
  <si>
    <t>Legendary Treasures
#38</t>
  </si>
  <si>
    <t>Boundaries Crossed
#40</t>
  </si>
  <si>
    <t>Black &amp; White
#30</t>
  </si>
  <si>
    <t>Samurott</t>
  </si>
  <si>
    <t>Crown Zenith
#GG52</t>
  </si>
  <si>
    <t>Crown Zenith
#GG51</t>
  </si>
  <si>
    <t>Steam Siege
#32</t>
  </si>
  <si>
    <t>Sword &amp; Shield Promos
#SWSH207</t>
  </si>
  <si>
    <t>Patrat</t>
  </si>
  <si>
    <t>Black &amp; White Trainer Kit—Zoroark
#29</t>
  </si>
  <si>
    <t>Boundaries Crossed
#118</t>
  </si>
  <si>
    <t>Plasma Storm
#111</t>
  </si>
  <si>
    <t>Furious Fists
#84</t>
  </si>
  <si>
    <t>Watchog</t>
  </si>
  <si>
    <t>Lillipup</t>
  </si>
  <si>
    <t>Sun &amp; Moon
#103</t>
  </si>
  <si>
    <t>Evolving Skies
#133</t>
  </si>
  <si>
    <t>Cosmic Eclipse
#174</t>
  </si>
  <si>
    <t>XY
#108</t>
  </si>
  <si>
    <t>Herdier</t>
  </si>
  <si>
    <t>Sun &amp; Moon
#104</t>
  </si>
  <si>
    <t>XY
#109</t>
  </si>
  <si>
    <t>Dark Explorers
#87</t>
  </si>
  <si>
    <t>Evolving Skies
#134</t>
  </si>
  <si>
    <t>Stoutland</t>
  </si>
  <si>
    <t>Battle Styles
#117</t>
  </si>
  <si>
    <t>Cosmic Eclipse
#248</t>
  </si>
  <si>
    <t>Crown Zenith
#116</t>
  </si>
  <si>
    <t>Black &amp; White
#83</t>
  </si>
  <si>
    <t>Purrloin</t>
  </si>
  <si>
    <t>Liepard</t>
  </si>
  <si>
    <t>Shining Legends
#49</t>
  </si>
  <si>
    <t>Phantom Forces
#57</t>
  </si>
  <si>
    <t>Sword &amp; Shield Promos
#SWSH187</t>
  </si>
  <si>
    <t>Paradox Rift
#115</t>
  </si>
  <si>
    <t>Pansage</t>
  </si>
  <si>
    <t>Simisage</t>
  </si>
  <si>
    <t>Pansear</t>
  </si>
  <si>
    <t>Simisear</t>
  </si>
  <si>
    <t>Panpour</t>
  </si>
  <si>
    <t>Simipour</t>
  </si>
  <si>
    <t>Burning Shadows
#37</t>
  </si>
  <si>
    <t>Paradox Rift
#042</t>
  </si>
  <si>
    <t>Darkness Ablaze
#042</t>
  </si>
  <si>
    <t>Emerging Powers
#23</t>
  </si>
  <si>
    <t>Munna</t>
  </si>
  <si>
    <t>Musharna</t>
  </si>
  <si>
    <t>Fusion Strike
#122</t>
  </si>
  <si>
    <t>Phantom Forces
#40</t>
  </si>
  <si>
    <t>Next Destinies
#59</t>
  </si>
  <si>
    <t>Black &amp; White
#49</t>
  </si>
  <si>
    <t>Pidove</t>
  </si>
  <si>
    <t>Pokémon GO
#061</t>
  </si>
  <si>
    <t>Black &amp; White Trainer Kit—Zoroark
#21</t>
  </si>
  <si>
    <t>Unified Minds
#174</t>
  </si>
  <si>
    <t>Rebel Clash
#143</t>
  </si>
  <si>
    <t>Tranquill</t>
  </si>
  <si>
    <t>Temporal Forces
#134</t>
  </si>
  <si>
    <t>Unified Minds
#175</t>
  </si>
  <si>
    <t>Emerging Powers
#81</t>
  </si>
  <si>
    <t>Black &amp; White Trainer Kit—Zoroark
#15</t>
  </si>
  <si>
    <t>Unfezant</t>
  </si>
  <si>
    <t>Blitzle</t>
  </si>
  <si>
    <t>Paradox Rift
#195</t>
  </si>
  <si>
    <t>Paradox Rift
#062</t>
  </si>
  <si>
    <t>Sword &amp; Shield Promos
#SWSH173</t>
  </si>
  <si>
    <t>Chilling Reign
#050</t>
  </si>
  <si>
    <t>Zebstrika</t>
  </si>
  <si>
    <t>Roggenrola</t>
  </si>
  <si>
    <t>Boldore</t>
  </si>
  <si>
    <t>Gigalith</t>
  </si>
  <si>
    <t>Phantom Forces
#50</t>
  </si>
  <si>
    <t>Evolving Skies
#088</t>
  </si>
  <si>
    <t>Emerging Powers
#53</t>
  </si>
  <si>
    <t>Noble Victories
#61</t>
  </si>
  <si>
    <t>Woobat</t>
  </si>
  <si>
    <t>Swoobat</t>
  </si>
  <si>
    <t>Cosmic Eclipse
#88</t>
  </si>
  <si>
    <t>Vivid Voltage
#074</t>
  </si>
  <si>
    <t>Legendary Treasures
#65</t>
  </si>
  <si>
    <t>Boundaries Crossed
#71</t>
  </si>
  <si>
    <t>Drilbur</t>
  </si>
  <si>
    <t>Excadrill</t>
  </si>
  <si>
    <t>Audino</t>
  </si>
  <si>
    <t>Obsidian Flames
#173</t>
  </si>
  <si>
    <t>Legendary Treasures
#RC17</t>
  </si>
  <si>
    <t>Black &amp; White Trainer Kit—Excadrill
#18</t>
  </si>
  <si>
    <t>Dragons Exalted
#108</t>
  </si>
  <si>
    <t>Timburr</t>
  </si>
  <si>
    <t>Gurdurr</t>
  </si>
  <si>
    <t>Noble Victories
#63</t>
  </si>
  <si>
    <t>Battle Styles
#074</t>
  </si>
  <si>
    <t>Twilight Masquerade
#104</t>
  </si>
  <si>
    <t>Black &amp; White Trainer Kit—Excadrill
#14</t>
  </si>
  <si>
    <t>Conkeldurr</t>
  </si>
  <si>
    <t>Pokémon GO
#074</t>
  </si>
  <si>
    <t>Pokémon GO
#073</t>
  </si>
  <si>
    <t>Battle Styles
#075</t>
  </si>
  <si>
    <t>Plasma Storm
#81</t>
  </si>
  <si>
    <t>Tympole</t>
  </si>
  <si>
    <t>Palpitoad</t>
  </si>
  <si>
    <t>Seismitoad</t>
  </si>
  <si>
    <t>Obsidian Flames
#052</t>
  </si>
  <si>
    <t>Furious Fists
#106</t>
  </si>
  <si>
    <t>Evolving Skies
#090</t>
  </si>
  <si>
    <t>Rebel Clash
#046</t>
  </si>
  <si>
    <t>Throh</t>
  </si>
  <si>
    <t>Sawk</t>
  </si>
  <si>
    <t>Brilliant Stars
#081</t>
  </si>
  <si>
    <t>Plasma Blast
#52</t>
  </si>
  <si>
    <t>Dragons Exalted
#69</t>
  </si>
  <si>
    <t>Emerging Powers
#59</t>
  </si>
  <si>
    <t>Sewaddle</t>
  </si>
  <si>
    <t>Swadloon</t>
  </si>
  <si>
    <t>Legendary Treasures
#11</t>
  </si>
  <si>
    <t>Phantom Forces
#6</t>
  </si>
  <si>
    <t>Unified Minds
#8</t>
  </si>
  <si>
    <t>Fusion Strike
#010</t>
  </si>
  <si>
    <t>Leavanny</t>
  </si>
  <si>
    <t>Venipede</t>
  </si>
  <si>
    <t>Twilight Masquerade
#115</t>
  </si>
  <si>
    <t>Burning Shadows
#56</t>
  </si>
  <si>
    <t>Boundaries Crossed
#72</t>
  </si>
  <si>
    <t>Black &amp; White
#52</t>
  </si>
  <si>
    <t>Whirlipede</t>
  </si>
  <si>
    <t>Twilight Masquerade
#116</t>
  </si>
  <si>
    <t>Boundaries Crossed
#73</t>
  </si>
  <si>
    <t>Emerging Powers
#39</t>
  </si>
  <si>
    <t>Black &amp; White
#53</t>
  </si>
  <si>
    <t>Scolipede</t>
  </si>
  <si>
    <t>Cottonee</t>
  </si>
  <si>
    <t>Whimsicott</t>
  </si>
  <si>
    <t>Petilil</t>
  </si>
  <si>
    <t>Lilligant</t>
  </si>
  <si>
    <t>Astral Radiance
#163</t>
  </si>
  <si>
    <t>Boundaries Crossed
#17</t>
  </si>
  <si>
    <t>Noble Victories
#5</t>
  </si>
  <si>
    <t>Astral Radiance
#162</t>
  </si>
  <si>
    <t>Basculin-Red-Striped</t>
  </si>
  <si>
    <t>Lost Origin
#044</t>
  </si>
  <si>
    <t>Next Destinies
#30</t>
  </si>
  <si>
    <t>Emerging Powers
#25</t>
  </si>
  <si>
    <t>Emerging Powers
#24</t>
  </si>
  <si>
    <t>Sandile</t>
  </si>
  <si>
    <t>Krokorok</t>
  </si>
  <si>
    <t>Scarlet &amp; Violet
#116</t>
  </si>
  <si>
    <t>Vivid Voltage
#108</t>
  </si>
  <si>
    <t>Flashfire
#57</t>
  </si>
  <si>
    <t>XY
#70</t>
  </si>
  <si>
    <t>Krookodile</t>
  </si>
  <si>
    <t>Darumaka</t>
  </si>
  <si>
    <t>Darmanitan-Standard</t>
  </si>
  <si>
    <t>Black &amp; White
#25</t>
  </si>
  <si>
    <t>Obsidian Flames
#035</t>
  </si>
  <si>
    <t>Vivid Voltage
#036</t>
  </si>
  <si>
    <t>Darkness Ablaze
#028</t>
  </si>
  <si>
    <t>Maractus</t>
  </si>
  <si>
    <t>Dwebble</t>
  </si>
  <si>
    <t>Crustle</t>
  </si>
  <si>
    <t>Paradox Rift
#183</t>
  </si>
  <si>
    <t>Unified Minds
#11</t>
  </si>
  <si>
    <t>Paradox Rift
#007</t>
  </si>
  <si>
    <t>Legendary Treasures
#14</t>
  </si>
  <si>
    <t>Scraggy</t>
  </si>
  <si>
    <t>Scrafty</t>
  </si>
  <si>
    <t>Sigilyph</t>
  </si>
  <si>
    <t>Lost Thunder
#98</t>
  </si>
  <si>
    <t>Rebel Clash
#080</t>
  </si>
  <si>
    <t>Silver Tempest
#075</t>
  </si>
  <si>
    <t>Legendary Treasures
#66</t>
  </si>
  <si>
    <t>Yamask</t>
  </si>
  <si>
    <t>Paradox Rift
#075</t>
  </si>
  <si>
    <t>Rebel Clash
#101</t>
  </si>
  <si>
    <t>Plasma Freeze
#55</t>
  </si>
  <si>
    <t>Chilling Reign
#082</t>
  </si>
  <si>
    <t>Cofagrigus</t>
  </si>
  <si>
    <t>Paradox Rift
#224</t>
  </si>
  <si>
    <t>Plasma Freeze
#57</t>
  </si>
  <si>
    <t>Noble Victories
#47</t>
  </si>
  <si>
    <t>Plasma Freeze
#56</t>
  </si>
  <si>
    <t>Tirtouga</t>
  </si>
  <si>
    <t>Stellar Miracle
#N/A</t>
  </si>
  <si>
    <t>Unified Minds
#44</t>
  </si>
  <si>
    <t>Noble Victories
#25</t>
  </si>
  <si>
    <t>Plasma Blast
#27</t>
  </si>
  <si>
    <t>Carracosta</t>
  </si>
  <si>
    <t>Sun &amp; Moon Promos
#SM239</t>
  </si>
  <si>
    <t>Plasma Blast
#28</t>
  </si>
  <si>
    <t>Noble Victories
#26</t>
  </si>
  <si>
    <t>Archen</t>
  </si>
  <si>
    <t>Archeops</t>
  </si>
  <si>
    <t>Trubbish</t>
  </si>
  <si>
    <t>Garbodor</t>
  </si>
  <si>
    <t>Paradox Rift
#204</t>
  </si>
  <si>
    <t>Evolving Skies
#100</t>
  </si>
  <si>
    <t>Plasma Freeze
#119</t>
  </si>
  <si>
    <t>Guardians Rising
#51</t>
  </si>
  <si>
    <t>Zorua</t>
  </si>
  <si>
    <t>Zoroark</t>
  </si>
  <si>
    <t>Minccino</t>
  </si>
  <si>
    <t>Temporal Forces
#182</t>
  </si>
  <si>
    <t>Legendary Treasures
#104</t>
  </si>
  <si>
    <t>Sword &amp; Shield
#146</t>
  </si>
  <si>
    <t>Black &amp; White
#88</t>
  </si>
  <si>
    <t>Cinccino</t>
  </si>
  <si>
    <t>Gothita</t>
  </si>
  <si>
    <t>Darkness Ablaze
#073</t>
  </si>
  <si>
    <t>Paldea Evolved
#090</t>
  </si>
  <si>
    <t>Fates Collide
#32</t>
  </si>
  <si>
    <t>Dragons Exalted
#55</t>
  </si>
  <si>
    <t>Gothorita</t>
  </si>
  <si>
    <t>Gothitelle</t>
  </si>
  <si>
    <t>Solosis</t>
  </si>
  <si>
    <t>Temporal Forces
#070</t>
  </si>
  <si>
    <t>Silver Tempest
#076</t>
  </si>
  <si>
    <t>Plasma Blast
#42</t>
  </si>
  <si>
    <t>Legendary Treasures
#73</t>
  </si>
  <si>
    <t>Duosion</t>
  </si>
  <si>
    <t>Reuniclus</t>
  </si>
  <si>
    <t>Temporal Forces
#171</t>
  </si>
  <si>
    <t>Fates Collide
#35</t>
  </si>
  <si>
    <t>Silver Tempest
#078</t>
  </si>
  <si>
    <t>Legendary Treasures
#76</t>
  </si>
  <si>
    <t>Ducklett</t>
  </si>
  <si>
    <t>Swanna</t>
  </si>
  <si>
    <t>Vanillite</t>
  </si>
  <si>
    <t>Vanillish</t>
  </si>
  <si>
    <t>Paradox Rift
#190</t>
  </si>
  <si>
    <t>Paradox Rift
#044</t>
  </si>
  <si>
    <t>Dark Explorers
#34</t>
  </si>
  <si>
    <t>BREAKthrough
#44</t>
  </si>
  <si>
    <t>Vanilluxe</t>
  </si>
  <si>
    <t>Deerling</t>
  </si>
  <si>
    <t>Temporal Forces
#165</t>
  </si>
  <si>
    <t>Temporal Forces
#016</t>
  </si>
  <si>
    <t>Chilling Reign
#011</t>
  </si>
  <si>
    <t>Fates Collide
#8</t>
  </si>
  <si>
    <t>Sawsbuck</t>
  </si>
  <si>
    <t>Temporal Forces
#166</t>
  </si>
  <si>
    <t>Temporal Forces
#017</t>
  </si>
  <si>
    <t>Cosmic Eclipse
#16</t>
  </si>
  <si>
    <t>Black &amp; White
#14</t>
  </si>
  <si>
    <t>Emolga</t>
  </si>
  <si>
    <t>Karrablast</t>
  </si>
  <si>
    <t>Escavalier</t>
  </si>
  <si>
    <t>Foongus</t>
  </si>
  <si>
    <t>Amoonguss</t>
  </si>
  <si>
    <t>Frillish</t>
  </si>
  <si>
    <t>Jellicent</t>
  </si>
  <si>
    <t>Battle Styles
#042</t>
  </si>
  <si>
    <t>Noble Victories
#31</t>
  </si>
  <si>
    <t>Boundaries Crossed
#45</t>
  </si>
  <si>
    <t>Phantom Forces
#21</t>
  </si>
  <si>
    <t>Alomomola</t>
  </si>
  <si>
    <t>Joltik</t>
  </si>
  <si>
    <t>Paradox Rift
#196</t>
  </si>
  <si>
    <t>Galvantula</t>
  </si>
  <si>
    <t>Ferroseed</t>
  </si>
  <si>
    <t>Ferrothorn</t>
  </si>
  <si>
    <t>Paradox Rift
#209</t>
  </si>
  <si>
    <t>Klink</t>
  </si>
  <si>
    <t>Klang</t>
  </si>
  <si>
    <t>Klinklang</t>
  </si>
  <si>
    <t>Tynamo</t>
  </si>
  <si>
    <t>Eelektrik</t>
  </si>
  <si>
    <t>Eelektross</t>
  </si>
  <si>
    <t>Fusion Strike
#097</t>
  </si>
  <si>
    <t>Vivid Voltage
#059</t>
  </si>
  <si>
    <t>Burning Shadows
#46</t>
  </si>
  <si>
    <t>Obsidian Flames
#069</t>
  </si>
  <si>
    <t>Elgyem</t>
  </si>
  <si>
    <t>Beheeyem</t>
  </si>
  <si>
    <t>Litwick</t>
  </si>
  <si>
    <t>Lampent</t>
  </si>
  <si>
    <t>Chandelure</t>
  </si>
  <si>
    <t>Axew</t>
  </si>
  <si>
    <t>Brilliant Stars
#110</t>
  </si>
  <si>
    <t>Unified Minds
#154</t>
  </si>
  <si>
    <t>BREAKthrough
#109</t>
  </si>
  <si>
    <t>BREAKthrough
#108</t>
  </si>
  <si>
    <t>Fraxure</t>
  </si>
  <si>
    <t>Haxorus</t>
  </si>
  <si>
    <t>Cubchoo</t>
  </si>
  <si>
    <t>Beartic</t>
  </si>
  <si>
    <t>Cryogonal</t>
  </si>
  <si>
    <t>Shelmet</t>
  </si>
  <si>
    <t>Crimson Invasion
#8</t>
  </si>
  <si>
    <t>Darkness Ablaze
#009</t>
  </si>
  <si>
    <t>Fusion Strike
#013</t>
  </si>
  <si>
    <t>Plasma Blast
#7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</si>
  <si>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</si>
  <si>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</si>
  <si>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</si>
  <si>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</si>
  <si>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</si>
  <si>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</si>
  <si>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</si>
  <si>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</si>
  <si>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Paldean Fates
#185</t>
  </si>
  <si>
    <t>Dark Explorers
#78</t>
  </si>
  <si>
    <t>Battle Styles
#103</t>
  </si>
  <si>
    <t>Crown Zenith
#091</t>
  </si>
  <si>
    <t>Bisharp</t>
  </si>
  <si>
    <t>Scarlet &amp; Violet Promos
#112</t>
  </si>
  <si>
    <t>Paldean Fates
#186</t>
  </si>
  <si>
    <t>Obsidian Flames
#149</t>
  </si>
  <si>
    <t>Crown Zenith
#093</t>
  </si>
  <si>
    <t>Bouffalant</t>
  </si>
  <si>
    <t>Rufflet</t>
  </si>
  <si>
    <t>Silver Tempest
#148</t>
  </si>
  <si>
    <t>Astral Radiance
#131</t>
  </si>
  <si>
    <t>Dragons Exalted
#111</t>
  </si>
  <si>
    <t>Steam Siege
#92</t>
  </si>
  <si>
    <t>Braviary</t>
  </si>
  <si>
    <t>Evolving Skies
#137</t>
  </si>
  <si>
    <t>Silver Tempest
#149</t>
  </si>
  <si>
    <t>Cosmic Eclipse
#178</t>
  </si>
  <si>
    <t>BREAKthrough
#130</t>
  </si>
  <si>
    <t>Vullaby</t>
  </si>
  <si>
    <t>Mandibuzz</t>
  </si>
  <si>
    <t>Rebel Clash
#120</t>
  </si>
  <si>
    <t>Fusion Strike
#173</t>
  </si>
  <si>
    <t>Emerging Powers
#69</t>
  </si>
  <si>
    <t>Black &amp; White
#73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</si>
  <si>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</si>
  <si>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</si>
  <si>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</si>
  <si>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</si>
  <si>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</si>
  <si>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</si>
  <si>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</si>
  <si>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</si>
  <si>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Noble Victories
#100</t>
  </si>
  <si>
    <t>Team Up
#106</t>
  </si>
  <si>
    <t>Chilling Reign
#114</t>
  </si>
  <si>
    <t>Plasma Storm
#93</t>
  </si>
  <si>
    <t>Terrakion</t>
  </si>
  <si>
    <t>Virizion</t>
  </si>
  <si>
    <t>Sword &amp; Shield Promos
#SWSH295</t>
  </si>
  <si>
    <t>Lost Thunder
#34</t>
  </si>
  <si>
    <t>Legendary Treasures
#15</t>
  </si>
  <si>
    <t>Shining Legends
#8</t>
  </si>
  <si>
    <t>Tornadus-Incarnate</t>
  </si>
  <si>
    <t>Chilling Reign
#185</t>
  </si>
  <si>
    <t>Black &amp; White Promos
#BW96</t>
  </si>
  <si>
    <t>Emerging Powers
#98</t>
  </si>
  <si>
    <t>Black &amp; White Promos
#BW42</t>
  </si>
  <si>
    <t>Thundurus-Incarnate</t>
  </si>
  <si>
    <t>Reshiram</t>
  </si>
  <si>
    <t>Legendary Treasures
#RC22</t>
  </si>
  <si>
    <t>Dragon Majesty
#SV51</t>
  </si>
  <si>
    <t>Legendary Treasures
#28</t>
  </si>
  <si>
    <t>Shining Fates
#017</t>
  </si>
  <si>
    <t>Zekrom</t>
  </si>
  <si>
    <t>Cosmic Eclipse
#222</t>
  </si>
  <si>
    <t>Brilliant Stars
#TG05</t>
  </si>
  <si>
    <t>XY Promos
#XY76</t>
  </si>
  <si>
    <t>Celebrations
#114</t>
  </si>
  <si>
    <t>Landorus-Incarnate</t>
  </si>
  <si>
    <t>Kyurem</t>
  </si>
  <si>
    <t>Keldeo-Ordinary</t>
  </si>
  <si>
    <t>Crown Zenith
#GG07</t>
  </si>
  <si>
    <t>Meloetta-Aria</t>
  </si>
  <si>
    <t>Genesect</t>
  </si>
  <si>
    <t>Fusion Strike
#255</t>
  </si>
  <si>
    <t>Fusion Strike
#254</t>
  </si>
  <si>
    <t>Shining Legends
#9</t>
  </si>
  <si>
    <t>XY Promos
#XY119</t>
  </si>
  <si>
    <t>Chespin</t>
  </si>
  <si>
    <t>Quilladin</t>
  </si>
  <si>
    <t>BREAKthrough
#10</t>
  </si>
  <si>
    <t>XY
#13</t>
  </si>
  <si>
    <t>Kalos Starter Set
#4</t>
  </si>
  <si>
    <t>Chesnaught</t>
  </si>
  <si>
    <t>Fennekin</t>
  </si>
  <si>
    <t>Braixen</t>
  </si>
  <si>
    <t>Silver Tempest
#TG01</t>
  </si>
  <si>
    <t>Cosmic Eclipse
#22</t>
  </si>
  <si>
    <t>Delphox</t>
  </si>
  <si>
    <t>Froakie</t>
  </si>
  <si>
    <t>Frogadier</t>
  </si>
  <si>
    <t>Greninja</t>
  </si>
  <si>
    <t>Astral Radiance
#046</t>
  </si>
  <si>
    <t>Sword &amp; Shield Promos
#SWSH305</t>
  </si>
  <si>
    <t>Forbidden Light
#SV56</t>
  </si>
  <si>
    <t>XY Promos
#XY24</t>
  </si>
  <si>
    <t>Bunnelby</t>
  </si>
  <si>
    <t>Sword &amp; Shield Promos
#SWSH082</t>
  </si>
  <si>
    <t>Forbidden Light
#97</t>
  </si>
  <si>
    <t>Obsidian Flames
#175</t>
  </si>
  <si>
    <t>Primal Clash
#121</t>
  </si>
  <si>
    <t>Diggersby</t>
  </si>
  <si>
    <t>Fletchling</t>
  </si>
  <si>
    <t>Fletchinder</t>
  </si>
  <si>
    <t>Paldea Evolved
#199</t>
  </si>
  <si>
    <t>Paldea Evolved
#029</t>
  </si>
  <si>
    <t>Steam Siege
#95</t>
  </si>
  <si>
    <t>Silver Tempest
#028</t>
  </si>
  <si>
    <t>Talonflame</t>
  </si>
  <si>
    <t>Scatterbug</t>
  </si>
  <si>
    <t>Spewpa</t>
  </si>
  <si>
    <t>Scarlet &amp; Violet
#009</t>
  </si>
  <si>
    <t>BREAKthrough
#14</t>
  </si>
  <si>
    <t>Battle Styles
#012</t>
  </si>
  <si>
    <t>Forbidden Light
#7</t>
  </si>
  <si>
    <t>Vivillon</t>
  </si>
  <si>
    <t>Litleo</t>
  </si>
  <si>
    <t>Paldea Evolved
#031</t>
  </si>
  <si>
    <t>Cosmic Eclipse
#36</t>
  </si>
  <si>
    <t>Lost Thunder
#50</t>
  </si>
  <si>
    <t>Forbidden Light
#18</t>
  </si>
  <si>
    <t>Pyroar</t>
  </si>
  <si>
    <t>Paldea Evolved
#200</t>
  </si>
  <si>
    <t>Lost Origin
#029</t>
  </si>
  <si>
    <t>Phantom Forces
#12</t>
  </si>
  <si>
    <t>Evolving Skies
#023</t>
  </si>
  <si>
    <t>Flabebe</t>
  </si>
  <si>
    <t>Floette</t>
  </si>
  <si>
    <t>Twilight Masquerade
#087</t>
  </si>
  <si>
    <t>Cosmic Eclipse
#151</t>
  </si>
  <si>
    <t>Evolving Skies
#072</t>
  </si>
  <si>
    <t>Scarlet &amp; Violet
#092</t>
  </si>
  <si>
    <t>Florges</t>
  </si>
  <si>
    <t>Skiddo</t>
  </si>
  <si>
    <t>Gogoat</t>
  </si>
  <si>
    <t>Lost Thunder
#36</t>
  </si>
  <si>
    <t>Scarlet &amp; Violet
#012</t>
  </si>
  <si>
    <t>Vivid Voltage
#018</t>
  </si>
  <si>
    <t>BREAKthrough
#17</t>
  </si>
  <si>
    <t>Pancham</t>
  </si>
  <si>
    <t>Pangoro</t>
  </si>
  <si>
    <t>McDonald’s Collection 2022
#13</t>
  </si>
  <si>
    <t>Guardians Rising
#82</t>
  </si>
  <si>
    <t>BREAKpoint
#75</t>
  </si>
  <si>
    <t>Crown Zenith
#080</t>
  </si>
  <si>
    <t>Furfrou</t>
  </si>
  <si>
    <t>Espurr</t>
  </si>
  <si>
    <t>Meowstic-Male</t>
  </si>
  <si>
    <t>Honedge</t>
  </si>
  <si>
    <t>Battle Styles
#105</t>
  </si>
  <si>
    <t>BREAKpoint
#60</t>
  </si>
  <si>
    <t>Paradox Rift
#131</t>
  </si>
  <si>
    <t>Rebel Clash
#133</t>
  </si>
  <si>
    <t>Doublade</t>
  </si>
  <si>
    <t>Aegislash-Shield</t>
  </si>
  <si>
    <t>Spritzee</t>
  </si>
  <si>
    <t>Aromatisse</t>
  </si>
  <si>
    <t>Swirlix</t>
  </si>
  <si>
    <t>Twilight Masquerade
#089</t>
  </si>
  <si>
    <t>Cosmic Eclipse
#153</t>
  </si>
  <si>
    <t>Chilling Reign
#067</t>
  </si>
  <si>
    <t>Generations
#RC19</t>
  </si>
  <si>
    <t>Slurpuff</t>
  </si>
  <si>
    <t>Inkay</t>
  </si>
  <si>
    <t>Malamar</t>
  </si>
  <si>
    <t>Binacle</t>
  </si>
  <si>
    <t>Lost Origin
#106</t>
  </si>
  <si>
    <t>Forbidden Light
#66</t>
  </si>
  <si>
    <t>Rebel Clash
#103</t>
  </si>
  <si>
    <t>Roaring Skies
#38</t>
  </si>
  <si>
    <t>Barbaracle</t>
  </si>
  <si>
    <t>Lost Origin
#107</t>
  </si>
  <si>
    <t>Fates Collide
#23</t>
  </si>
  <si>
    <t>Flashfire
#49</t>
  </si>
  <si>
    <t>Rebel Clash
#104</t>
  </si>
  <si>
    <t>Skrelp</t>
  </si>
  <si>
    <t>Dragalge</t>
  </si>
  <si>
    <t>Clauncher</t>
  </si>
  <si>
    <t>Clawitzer</t>
  </si>
  <si>
    <t>Scarlet &amp; Violet
#050</t>
  </si>
  <si>
    <t>XY Promos
#XY146</t>
  </si>
  <si>
    <t>Fusion Strike
#075</t>
  </si>
  <si>
    <t>Furious Fists
#24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</si>
  <si>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</si>
  <si>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</si>
  <si>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</si>
  <si>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</si>
  <si>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</si>
  <si>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</si>
  <si>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</si>
  <si>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</si>
  <si>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</si>
  <si>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Brilliant Stars
#TG07</t>
  </si>
  <si>
    <t>Unbroken Bonds
#195a</t>
  </si>
  <si>
    <t>Paldean Fates
#036</t>
  </si>
  <si>
    <t>Sword &amp; Shield Promos
#SWSH080</t>
  </si>
  <si>
    <t>Carbink</t>
  </si>
  <si>
    <t>Goomy</t>
  </si>
  <si>
    <t>Sliggoo</t>
  </si>
  <si>
    <t>Fusion Strike
#196</t>
  </si>
  <si>
    <t>Guardians Rising
#95</t>
  </si>
  <si>
    <t>Lost Origin
#133</t>
  </si>
  <si>
    <t>Forbidden Light
#93</t>
  </si>
  <si>
    <t>Goodra</t>
  </si>
  <si>
    <t>Crown Zenith
#GG21</t>
  </si>
  <si>
    <t>Klefki</t>
  </si>
  <si>
    <t>Fusion Strike
#186</t>
  </si>
  <si>
    <t>Forbidden Light
#89</t>
  </si>
  <si>
    <t>Roaring Skies
#48</t>
  </si>
  <si>
    <t>Scarlet &amp; Violet
#096</t>
  </si>
  <si>
    <t>Phantump</t>
  </si>
  <si>
    <t>Trevenant</t>
  </si>
  <si>
    <t>Primal Clash
#19</t>
  </si>
  <si>
    <t>Guardians Rising
#7</t>
  </si>
  <si>
    <t>Fusion Strike
#017</t>
  </si>
  <si>
    <t>Evolving Skies
#168</t>
  </si>
  <si>
    <t>Pumpkaboo-Average</t>
  </si>
  <si>
    <t>Gourgeist-Average</t>
  </si>
  <si>
    <t>Bergmite</t>
  </si>
  <si>
    <t>Avalugg</t>
  </si>
  <si>
    <t>Forbidden Light
#30</t>
  </si>
  <si>
    <t>Flashfire
#31</t>
  </si>
  <si>
    <t>Astral Radiance
#048</t>
  </si>
  <si>
    <t>Steam Siege
#37</t>
  </si>
  <si>
    <t>Noibat</t>
  </si>
  <si>
    <t>Noivern</t>
  </si>
  <si>
    <t>Xerneas</t>
  </si>
  <si>
    <t>Yveltal</t>
  </si>
  <si>
    <t>Generations
#RC16</t>
  </si>
  <si>
    <t>Paradox Rift
#205</t>
  </si>
  <si>
    <t>Shining Fates
#046</t>
  </si>
  <si>
    <t>XY
#144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</si>
  <si>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</si>
  <si>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</si>
  <si>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</si>
  <si>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</si>
  <si>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</si>
  <si>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</si>
  <si>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</si>
  <si>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</si>
  <si>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</si>
  <si>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</si>
  <si>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</si>
  <si>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</si>
  <si>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</si>
  <si>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Sun &amp; Moon
#41</t>
  </si>
  <si>
    <t>Sun &amp; Moon Promos
#SM39</t>
  </si>
  <si>
    <t>Sun &amp; Moon
#42</t>
  </si>
  <si>
    <t>Lost Thunder
#67</t>
  </si>
  <si>
    <t>Pikipek</t>
  </si>
  <si>
    <t>Trumbeak</t>
  </si>
  <si>
    <t>Lost Thunder
#165</t>
  </si>
  <si>
    <t>Sun &amp; Moon Trainer Kit—Lycanroc
#4</t>
  </si>
  <si>
    <t>Vivid Voltage
#144</t>
  </si>
  <si>
    <t>Toucannon</t>
  </si>
  <si>
    <t>Sun &amp; Moon
#108</t>
  </si>
  <si>
    <t>Lost Thunder
#166</t>
  </si>
  <si>
    <t>Vivid Voltage
#145</t>
  </si>
  <si>
    <t>Yungoos</t>
  </si>
  <si>
    <t>Gumshoos</t>
  </si>
  <si>
    <t>Grubbin</t>
  </si>
  <si>
    <t>Charjabug</t>
  </si>
  <si>
    <t>Temporal Forces
#169</t>
  </si>
  <si>
    <t>Crown Zenith
#051</t>
  </si>
  <si>
    <t>Vikavolt</t>
  </si>
  <si>
    <t>Crabrawler</t>
  </si>
  <si>
    <t>Crabominable</t>
  </si>
  <si>
    <t>Oricorio-Baile</t>
  </si>
  <si>
    <t>Paldean Fates
#113</t>
  </si>
  <si>
    <t>Crown Zenith
#GG04</t>
  </si>
  <si>
    <t>Cutiefly</t>
  </si>
  <si>
    <t>Temporal Forces
#172</t>
  </si>
  <si>
    <t>Lost Thunder
#145</t>
  </si>
  <si>
    <t>Ribombee</t>
  </si>
  <si>
    <t>Evolving Skies
#079</t>
  </si>
  <si>
    <t>Lost Thunder
#146</t>
  </si>
  <si>
    <t>Sun &amp; Moon
#93</t>
  </si>
  <si>
    <t>Temporal Forces
#076</t>
  </si>
  <si>
    <t>Rockruff</t>
  </si>
  <si>
    <t>Silver Tempest
#TG07</t>
  </si>
  <si>
    <t>Paldea Evolved
#116</t>
  </si>
  <si>
    <t>Sun &amp; Moon Trainer Kit—Lycanroc
#29</t>
  </si>
  <si>
    <t>Champion’s Path
#029</t>
  </si>
  <si>
    <t>Lycanroc-Midday</t>
  </si>
  <si>
    <t>Paldea Evolved
#117</t>
  </si>
  <si>
    <t>Wishiwashi-Solo</t>
  </si>
  <si>
    <t>Mareanie</t>
  </si>
  <si>
    <t>Toxapex</t>
  </si>
  <si>
    <t>Mudbray</t>
  </si>
  <si>
    <t>Temporal Forces
#091</t>
  </si>
  <si>
    <t>Vivid Voltage
#096</t>
  </si>
  <si>
    <t>Burning Shadows
#77</t>
  </si>
  <si>
    <t>Sword &amp; Shield
#105</t>
  </si>
  <si>
    <t>Mudsdale</t>
  </si>
  <si>
    <t>Temporal Forces
#175</t>
  </si>
  <si>
    <t>Burning Shadows
#78</t>
  </si>
  <si>
    <t>Temporal Forces
#092</t>
  </si>
  <si>
    <t>Sun &amp; Moon Promos
#SM20</t>
  </si>
  <si>
    <t>Dewpider</t>
  </si>
  <si>
    <t>Araquanid</t>
  </si>
  <si>
    <t>Fomantis</t>
  </si>
  <si>
    <t>Battle Styles
#014</t>
  </si>
  <si>
    <t>Unified Minds
#15</t>
  </si>
  <si>
    <t>Sun &amp; Moon
#14</t>
  </si>
  <si>
    <t>Lurantis</t>
  </si>
  <si>
    <t>Morelull</t>
  </si>
  <si>
    <t>Shiinotic</t>
  </si>
  <si>
    <t>Darkness Ablaze
#080</t>
  </si>
  <si>
    <t>Ultra Prism
#93</t>
  </si>
  <si>
    <t>Sun &amp; Moon Promos
#SM10</t>
  </si>
  <si>
    <t>Lost Thunder
#148</t>
  </si>
  <si>
    <t>Salandit</t>
  </si>
  <si>
    <t>Guardians Rising
#15</t>
  </si>
  <si>
    <t>Obsidian Flames
#139</t>
  </si>
  <si>
    <t>Unified Minds
#33</t>
  </si>
  <si>
    <t>Dragon Majesty
#13</t>
  </si>
  <si>
    <t>Salazzle</t>
  </si>
  <si>
    <t>Stufful</t>
  </si>
  <si>
    <t>Bewear</t>
  </si>
  <si>
    <t>Bounsweet</t>
  </si>
  <si>
    <t>Obsidian Flames
#016</t>
  </si>
  <si>
    <t>Chilling Reign
#013</t>
  </si>
  <si>
    <t>Darkness Ablaze
#014</t>
  </si>
  <si>
    <t>Unified Minds
#17</t>
  </si>
  <si>
    <t>Steenee</t>
  </si>
  <si>
    <t>Tsareena</t>
  </si>
  <si>
    <t>Darkness Ablaze
#016</t>
  </si>
  <si>
    <t>Unified Minds
#19</t>
  </si>
  <si>
    <t>Silver Tempest
#016</t>
  </si>
  <si>
    <t>Chilling Reign
#015</t>
  </si>
  <si>
    <t>Comfey</t>
  </si>
  <si>
    <t>Oranguru</t>
  </si>
  <si>
    <t>Brilliant Stars
#TG12</t>
  </si>
  <si>
    <t>Paldea Evolved
#094</t>
  </si>
  <si>
    <t>Sun &amp; Moon Promos
#SM13</t>
  </si>
  <si>
    <t>Vivid Voltage
#199</t>
  </si>
  <si>
    <t>Passimian</t>
  </si>
  <si>
    <t>Silver Tempest
#TG08</t>
  </si>
  <si>
    <t>Sword &amp; Shield Promos
#SWSH115</t>
  </si>
  <si>
    <t>Sun &amp; Moon Promos
#SM12</t>
  </si>
  <si>
    <t>Chilling Reign
#088</t>
  </si>
  <si>
    <t>Wimpod</t>
  </si>
  <si>
    <t>Paradox Rift
#191</t>
  </si>
  <si>
    <t>Paradox Rift
#048</t>
  </si>
  <si>
    <t>Paradox Rift
#047</t>
  </si>
  <si>
    <t>Golisopod</t>
  </si>
  <si>
    <t>Sandygast</t>
  </si>
  <si>
    <t>Palossand</t>
  </si>
  <si>
    <t>Pyukumuku</t>
  </si>
  <si>
    <t>Fusion Strike
#077</t>
  </si>
  <si>
    <t>Unified Minds
#52</t>
  </si>
  <si>
    <t>Sword &amp; Shield Promos
#SWSH169</t>
  </si>
  <si>
    <t>Unbroken Bonds
#53</t>
  </si>
  <si>
    <t>Type-Null</t>
  </si>
  <si>
    <t>Silvally</t>
  </si>
  <si>
    <t>Minior-Red-Meteor</t>
  </si>
  <si>
    <t>Komala</t>
  </si>
  <si>
    <t>Lost Origin
#149</t>
  </si>
  <si>
    <t>Guardians Rising
#114</t>
  </si>
  <si>
    <t>Unified Minds
#185</t>
  </si>
  <si>
    <t>Sun &amp; Moon Promos
#SM41</t>
  </si>
  <si>
    <t>Turtonator</t>
  </si>
  <si>
    <t>Togedemaru</t>
  </si>
  <si>
    <t>Cosmic Eclipse
#73</t>
  </si>
  <si>
    <t>Sun &amp; Moon Trainer Kit - Alolan Raichu
#26</t>
  </si>
  <si>
    <t>Burning Shadows
#47</t>
  </si>
  <si>
    <t>Mimikyu-Disguised</t>
  </si>
  <si>
    <t>Bruxish</t>
  </si>
  <si>
    <t>Drampa</t>
  </si>
  <si>
    <t>Temporal Forces
#184</t>
  </si>
  <si>
    <t>Evolving Skies
#119</t>
  </si>
  <si>
    <t>Temporal Forces
#138</t>
  </si>
  <si>
    <t>Dragon Majesty
#51</t>
  </si>
  <si>
    <t>Dhelmise</t>
  </si>
  <si>
    <t>Jangmo-O</t>
  </si>
  <si>
    <t>Hakamo-O</t>
  </si>
  <si>
    <t>Kommo-O</t>
  </si>
  <si>
    <t>Tapu-Koko</t>
  </si>
  <si>
    <t>Paradox Rift
#247</t>
  </si>
  <si>
    <t>Battle Styles
#050</t>
  </si>
  <si>
    <t>Guardians Rising
#135</t>
  </si>
  <si>
    <t>Sun &amp; Moon Promos
#SM30a</t>
  </si>
  <si>
    <t>Tapu-Lele</t>
  </si>
  <si>
    <t>Tapu-Bulu</t>
  </si>
  <si>
    <t>Tapu-Fini</t>
  </si>
  <si>
    <t>Burning Shadows
#SV92</t>
  </si>
  <si>
    <t>Sun &amp; Moon Promos
#SM203</t>
  </si>
  <si>
    <t>Unified Minds
#53</t>
  </si>
  <si>
    <t>Burning Shadows
#39a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</si>
  <si>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</si>
  <si>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</si>
  <si>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</si>
  <si>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</si>
  <si>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</si>
  <si>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</si>
  <si>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</si>
  <si>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</si>
  <si>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Ultra Prism
#SV58</t>
  </si>
  <si>
    <t>Forbidden Light
#SV14</t>
  </si>
  <si>
    <t>Unified Minds
#70</t>
  </si>
  <si>
    <t>Sun &amp; Moon Promos
#SM68</t>
  </si>
  <si>
    <t>Celesteela</t>
  </si>
  <si>
    <t>Kartana</t>
  </si>
  <si>
    <t>Guzzlord</t>
  </si>
  <si>
    <t>Crimson Invasion
#SV71</t>
  </si>
  <si>
    <t>Crimson Invasion
#63</t>
  </si>
  <si>
    <t>Cosmic Eclipse
#136</t>
  </si>
  <si>
    <t>Forbidden Light
#80</t>
  </si>
  <si>
    <t>Necrozma</t>
  </si>
  <si>
    <t>Battle Styles
#063</t>
  </si>
  <si>
    <t>Burning Shadows
#134</t>
  </si>
  <si>
    <t>Sun &amp; Moon Promos
#SM58</t>
  </si>
  <si>
    <t>Sun &amp; Moon Promos
#SM204</t>
  </si>
  <si>
    <t>Magearna</t>
  </si>
  <si>
    <t>Marshadow</t>
  </si>
  <si>
    <t>Unbroken Bonds
#82</t>
  </si>
  <si>
    <t>Burning Shadows
#80</t>
  </si>
  <si>
    <t>Evolving Skies
#080</t>
  </si>
  <si>
    <t>Cosmic Eclipse
#103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</si>
  <si>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</si>
  <si>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</si>
  <si>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</si>
  <si>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</si>
  <si>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</si>
  <si>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</si>
  <si>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</si>
  <si>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</si>
  <si>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</si>
  <si>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</si>
  <si>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Twilight Masquerade
#016</t>
  </si>
  <si>
    <t>Sword &amp; Shield Promos
#SWSH014</t>
  </si>
  <si>
    <t>Rebel Clash
#017</t>
  </si>
  <si>
    <t>Sword &amp; Shield Promos
#SWSH277</t>
  </si>
  <si>
    <t>Scorbunny</t>
  </si>
  <si>
    <t>Sword &amp; Shield Promos
#SWSH244</t>
  </si>
  <si>
    <t>Sword &amp; Shield Promos
#SWSH071</t>
  </si>
  <si>
    <t>Chilling Reign
#026</t>
  </si>
  <si>
    <t>Sword &amp; Shield
#030</t>
  </si>
  <si>
    <t>Raboot</t>
  </si>
  <si>
    <t>Sword &amp; Shield
#032</t>
  </si>
  <si>
    <t>Sword &amp; Shield
#033</t>
  </si>
  <si>
    <t>Chilling Reign
#027</t>
  </si>
  <si>
    <t>Shining Fates
#SV016</t>
  </si>
  <si>
    <t>Cinderace</t>
  </si>
  <si>
    <t>Fusion Strike
#044</t>
  </si>
  <si>
    <t>Sword &amp; Shield Promos
#SWSH112</t>
  </si>
  <si>
    <t>Rebel Clash
#178</t>
  </si>
  <si>
    <t>Sword &amp; Shield
#035</t>
  </si>
  <si>
    <t>Sobble</t>
  </si>
  <si>
    <t>Drizzile</t>
  </si>
  <si>
    <t>Chilling Reign
#042</t>
  </si>
  <si>
    <t>Sword &amp; Shield
#056</t>
  </si>
  <si>
    <t>Sword &amp; Shield
#057</t>
  </si>
  <si>
    <t>Shining Fates
#SV026</t>
  </si>
  <si>
    <t>Inteleon</t>
  </si>
  <si>
    <t>Fusion Strike
#266</t>
  </si>
  <si>
    <t>Shining Fates
#SV027</t>
  </si>
  <si>
    <t>Sword &amp; Shield Promos
#SWSH113</t>
  </si>
  <si>
    <t>Chilling Reign
#043</t>
  </si>
  <si>
    <t>Skwovet</t>
  </si>
  <si>
    <t>Greedent</t>
  </si>
  <si>
    <t>Rookidee</t>
  </si>
  <si>
    <t>Corvisquire</t>
  </si>
  <si>
    <t>Corviknight</t>
  </si>
  <si>
    <t>Silver Tempest
#TG18</t>
  </si>
  <si>
    <t>Paldea Evolved
#148</t>
  </si>
  <si>
    <t>Sword &amp; Shield Promos
#SWSH200</t>
  </si>
  <si>
    <t>Fusion Strike
#190</t>
  </si>
  <si>
    <t>Blipbug</t>
  </si>
  <si>
    <t>Shining Fates
#SV007</t>
  </si>
  <si>
    <t>Paradox Rift
#010</t>
  </si>
  <si>
    <t>Sword &amp; Shield
#016</t>
  </si>
  <si>
    <t>Sword &amp; Shield
#017</t>
  </si>
  <si>
    <t>Dottler</t>
  </si>
  <si>
    <t>Orbeetle</t>
  </si>
  <si>
    <t>Nickit</t>
  </si>
  <si>
    <t>Thievul</t>
  </si>
  <si>
    <t>Crown Zenith
#GG17</t>
  </si>
  <si>
    <t>Astral Radiance
#104</t>
  </si>
  <si>
    <t>Evolving Skies
#105</t>
  </si>
  <si>
    <t>Sword &amp; Shield
#126</t>
  </si>
  <si>
    <t>Gossifleur</t>
  </si>
  <si>
    <t>Eldegoss</t>
  </si>
  <si>
    <t>Champion’s Path
#005</t>
  </si>
  <si>
    <t>Sword &amp; Shield Promos
#SWSH084</t>
  </si>
  <si>
    <t>Shining Fates
#SV011</t>
  </si>
  <si>
    <t>Fusion Strike
#025</t>
  </si>
  <si>
    <t>Wooloo</t>
  </si>
  <si>
    <t>Dubwool</t>
  </si>
  <si>
    <t>Chewtle</t>
  </si>
  <si>
    <t>Drednaw</t>
  </si>
  <si>
    <t>Vivid Voltage
#039</t>
  </si>
  <si>
    <t>Sword &amp; Shield Promos
#SWSH047</t>
  </si>
  <si>
    <t>Shining Fates
#027</t>
  </si>
  <si>
    <t>Champion’s Path
#015</t>
  </si>
  <si>
    <t>Yamper</t>
  </si>
  <si>
    <t>Boltund</t>
  </si>
  <si>
    <t>Rolycoly</t>
  </si>
  <si>
    <t>Rebel Clash
#105</t>
  </si>
  <si>
    <t>Battle Styles
#078</t>
  </si>
  <si>
    <t>Temporal Forces
#093</t>
  </si>
  <si>
    <t>Shining Fates
#SV067</t>
  </si>
  <si>
    <t>Carkol</t>
  </si>
  <si>
    <t>Shining Fates
#SV068</t>
  </si>
  <si>
    <t>Temporal Forces
#094</t>
  </si>
  <si>
    <t>Battle Styles
#079</t>
  </si>
  <si>
    <t>Rebel Clash
#106</t>
  </si>
  <si>
    <t>Coalossal</t>
  </si>
  <si>
    <t>Darkness Ablaze
#198</t>
  </si>
  <si>
    <t>Sword &amp; Shield Promos
#SWSH024</t>
  </si>
  <si>
    <t>Sword &amp; Shield Promos
#SWSH054</t>
  </si>
  <si>
    <t>Vivid Voltage
#189</t>
  </si>
  <si>
    <t>Applin</t>
  </si>
  <si>
    <t>Twilight Masquerade
#185</t>
  </si>
  <si>
    <t>Twilight Masquerade
#126</t>
  </si>
  <si>
    <t>Twilight Masquerade
#017</t>
  </si>
  <si>
    <t>Rebel Clash
#021</t>
  </si>
  <si>
    <t>Flapple</t>
  </si>
  <si>
    <t>Appletun</t>
  </si>
  <si>
    <t>Silicobra</t>
  </si>
  <si>
    <t>Sandaconda</t>
  </si>
  <si>
    <t>Cramorant</t>
  </si>
  <si>
    <t>Arrokuda</t>
  </si>
  <si>
    <t>Barraskewda</t>
  </si>
  <si>
    <t>Vivid Voltage
#042</t>
  </si>
  <si>
    <t>Shining Fates
#SV032</t>
  </si>
  <si>
    <t>Fusion Strike
#083</t>
  </si>
  <si>
    <t>Rebel Clash
#053</t>
  </si>
  <si>
    <t>Toxel</t>
  </si>
  <si>
    <t>Toxtricity-Amped</t>
  </si>
  <si>
    <t>Sizzlipede</t>
  </si>
  <si>
    <t>Centiskorch</t>
  </si>
  <si>
    <t>Clobbopus</t>
  </si>
  <si>
    <t>Grapploct</t>
  </si>
  <si>
    <t>Paldean Fates
#052</t>
  </si>
  <si>
    <t>Champion’s Path
#032</t>
  </si>
  <si>
    <t>Shining Fates
#SV073</t>
  </si>
  <si>
    <t>Vivid Voltage
#101</t>
  </si>
  <si>
    <t>Sinistea</t>
  </si>
  <si>
    <t>Polteageist</t>
  </si>
  <si>
    <t>Hatenna</t>
  </si>
  <si>
    <t>Hattrem</t>
  </si>
  <si>
    <t>Chilling Reign
#072</t>
  </si>
  <si>
    <t>Rebel Clash
#084</t>
  </si>
  <si>
    <t>Champion’s Path
#019</t>
  </si>
  <si>
    <t>Shining Fates
#SV055</t>
  </si>
  <si>
    <t>Hatterene</t>
  </si>
  <si>
    <t>Impidimp</t>
  </si>
  <si>
    <t>Fusion Strike
#176</t>
  </si>
  <si>
    <t>Brilliant Stars
#092</t>
  </si>
  <si>
    <t>Rebel Clash
#123</t>
  </si>
  <si>
    <t>Shining Fates
#SV083</t>
  </si>
  <si>
    <t>Morgrem</t>
  </si>
  <si>
    <t>Grimmsnarl</t>
  </si>
  <si>
    <t>Shining Fates
#SV116</t>
  </si>
  <si>
    <t>Shining Fates
#SV085</t>
  </si>
  <si>
    <t>Rebel Clash
#125</t>
  </si>
  <si>
    <t>Darkness Ablaze
#114</t>
  </si>
  <si>
    <t>Obstagoon</t>
  </si>
  <si>
    <t>Astral Radiance
#TG10</t>
  </si>
  <si>
    <t>Shining Fates
#SV080</t>
  </si>
  <si>
    <t>Vivid Voltage
#198</t>
  </si>
  <si>
    <t>Perrserker</t>
  </si>
  <si>
    <t>Lost Origin
#184</t>
  </si>
  <si>
    <t>Lost Origin
#129</t>
  </si>
  <si>
    <t>Fusion Strike
#181</t>
  </si>
  <si>
    <t>Sword &amp; Shield Promos
#SWSH008</t>
  </si>
  <si>
    <t>Cursola</t>
  </si>
  <si>
    <t>Sirfetchd</t>
  </si>
  <si>
    <t>Vivid Voltage
#174</t>
  </si>
  <si>
    <t>Rebel Clash
#095</t>
  </si>
  <si>
    <t>Shining Fates
#SV064</t>
  </si>
  <si>
    <t>Sword &amp; Shield Promos
#SWSH043</t>
  </si>
  <si>
    <t>Mr-Rime</t>
  </si>
  <si>
    <t>Runerigus</t>
  </si>
  <si>
    <t>Milcery</t>
  </si>
  <si>
    <t>Alcremie</t>
  </si>
  <si>
    <t>Falinks</t>
  </si>
  <si>
    <t>Astral Radiance
#TG07</t>
  </si>
  <si>
    <t>Lost Origin
#110</t>
  </si>
  <si>
    <t>Paldea Evolved
#119</t>
  </si>
  <si>
    <t>Fusion Strike
#155</t>
  </si>
  <si>
    <t>Pincurchin</t>
  </si>
  <si>
    <t>Snom</t>
  </si>
  <si>
    <t>Frosmoth</t>
  </si>
  <si>
    <t>Astral Radiance
#TG04</t>
  </si>
  <si>
    <t>Temporal Forces
#046</t>
  </si>
  <si>
    <t>Sword &amp; Shield
#064</t>
  </si>
  <si>
    <t>Sword &amp; Shield Promos
#SWSH007</t>
  </si>
  <si>
    <t>Stonjourner</t>
  </si>
  <si>
    <t>Eiscue-Ice</t>
  </si>
  <si>
    <t>Paldea Evolved
#205</t>
  </si>
  <si>
    <t>Shining Fates
#SV035</t>
  </si>
  <si>
    <t>Evolving Skies
#047</t>
  </si>
  <si>
    <t>Obsidian Flames
#222</t>
  </si>
  <si>
    <t>Indeedee-Male</t>
  </si>
  <si>
    <t>Morpeko-Full-Belly</t>
  </si>
  <si>
    <t>Cufant</t>
  </si>
  <si>
    <t>Paldea Evolved
#149</t>
  </si>
  <si>
    <t>Darkness Ablaze
#131</t>
  </si>
  <si>
    <t>Sword &amp; Shield
#136</t>
  </si>
  <si>
    <t>Shining Fates
#049</t>
  </si>
  <si>
    <t>Copperajah</t>
  </si>
  <si>
    <t>Dracozolt</t>
  </si>
  <si>
    <t>Evolving Skies
#058</t>
  </si>
  <si>
    <t>Evolving Skies
#178</t>
  </si>
  <si>
    <t>Darkness Ablaze
#065</t>
  </si>
  <si>
    <t>Evolving Skies
#059</t>
  </si>
  <si>
    <t>Arctozolt</t>
  </si>
  <si>
    <t>Dracovish</t>
  </si>
  <si>
    <t>Darkness Ablaze
#053</t>
  </si>
  <si>
    <t>Shining Fates
#SV036</t>
  </si>
  <si>
    <t>Brilliant Stars
#114</t>
  </si>
  <si>
    <t>Arctovish</t>
  </si>
  <si>
    <t>Duraludon</t>
  </si>
  <si>
    <t>Dreepy</t>
  </si>
  <si>
    <t>Twilight Masquerade
#128</t>
  </si>
  <si>
    <t>Silver Tempest
#087</t>
  </si>
  <si>
    <t>Rebel Clash
#089</t>
  </si>
  <si>
    <t>Fusion Strike
#128</t>
  </si>
  <si>
    <t>Drakloak</t>
  </si>
  <si>
    <t>Dragapult</t>
  </si>
  <si>
    <t>Zacian</t>
  </si>
  <si>
    <t>Zamazenta</t>
  </si>
  <si>
    <t>Eternatus</t>
  </si>
  <si>
    <t>Lost Origin
#TG22</t>
  </si>
  <si>
    <t>Lost Origin
#TG21</t>
  </si>
  <si>
    <t>Darkness Ablaze
#116</t>
  </si>
  <si>
    <t>Sword &amp; Shield Promos
#SWSH064</t>
  </si>
  <si>
    <t>Kubfu</t>
  </si>
  <si>
    <t>Chilling Reign
#093</t>
  </si>
  <si>
    <t>Urshifu-Single-Strike</t>
  </si>
  <si>
    <t>Battle Styles
#168</t>
  </si>
  <si>
    <t>Brilliant Stars
#TG18</t>
  </si>
  <si>
    <t>Battle Styles
#150</t>
  </si>
  <si>
    <t>Battle Styles
#086</t>
  </si>
  <si>
    <t>Zarude</t>
  </si>
  <si>
    <t>Regieleki</t>
  </si>
  <si>
    <t>Regidrago</t>
  </si>
  <si>
    <t>Glastrier</t>
  </si>
  <si>
    <t>Lost Origin
#51</t>
  </si>
  <si>
    <t>Spectrier</t>
  </si>
  <si>
    <t>Lost Origin
#81</t>
  </si>
  <si>
    <t>Calyrex</t>
  </si>
  <si>
    <t>Wyrdeer</t>
  </si>
  <si>
    <t>Astral Radiance
#TG06</t>
  </si>
  <si>
    <t>Sword &amp; Shield Promos
#SWSH206</t>
  </si>
  <si>
    <t>Astral Radiance
#180</t>
  </si>
  <si>
    <t>Astral Radiance
#134</t>
  </si>
  <si>
    <t>Kleavor</t>
  </si>
  <si>
    <t>Astral Radiance
#TG08</t>
  </si>
  <si>
    <t>Sword &amp; Shield Promos
#SWSH248</t>
  </si>
  <si>
    <t>Astral Radiance
#087</t>
  </si>
  <si>
    <t>Astral Radiance
#086</t>
  </si>
  <si>
    <t>Ursaluna</t>
  </si>
  <si>
    <t>Twilight Masquerade
#216</t>
  </si>
  <si>
    <t>Twilight Masquerade
#202</t>
  </si>
  <si>
    <t>Twilight Masquerade
#141</t>
  </si>
  <si>
    <t>Silver Tempest
#102</t>
  </si>
  <si>
    <t>Basculegion-Male</t>
  </si>
  <si>
    <t>Astral Radiance
#044</t>
  </si>
  <si>
    <t>Sword &amp; Shield Promos
#SWSH205</t>
  </si>
  <si>
    <t>Lost Origin
#045</t>
  </si>
  <si>
    <t>Sneasler</t>
  </si>
  <si>
    <t>Overqwil</t>
  </si>
  <si>
    <t>Enamorus-Incarnate</t>
  </si>
  <si>
    <t>Sprigatito</t>
  </si>
  <si>
    <t>Floragato</t>
  </si>
  <si>
    <t>Meowscarada</t>
  </si>
  <si>
    <t>Paldea Evolved
#256</t>
  </si>
  <si>
    <t>Scarlet &amp; Violet Promos
#078</t>
  </si>
  <si>
    <t>Scarlet &amp; Violet
#015</t>
  </si>
  <si>
    <t>Paldea Evolved
#231</t>
  </si>
  <si>
    <t>Fuecoco</t>
  </si>
  <si>
    <t>Paldea Evolved
#201</t>
  </si>
  <si>
    <t>Paradox Rift
#023</t>
  </si>
  <si>
    <t>Paldea Evolved
#035</t>
  </si>
  <si>
    <t>Scarlet &amp; Violet
#036</t>
  </si>
  <si>
    <t>Crocalor</t>
  </si>
  <si>
    <t>Paldea Evolved
#202</t>
  </si>
  <si>
    <t>Paradox Rift
#024</t>
  </si>
  <si>
    <t>Paldea Evolved
#036</t>
  </si>
  <si>
    <t>Scarlet &amp; Violet
#037</t>
  </si>
  <si>
    <t>Skeledirge</t>
  </si>
  <si>
    <t>Quaxly</t>
  </si>
  <si>
    <t>Quaxwell</t>
  </si>
  <si>
    <t>Quaquaval</t>
  </si>
  <si>
    <t>Lechonk</t>
  </si>
  <si>
    <t>Oinkologne</t>
  </si>
  <si>
    <t>Tarountula</t>
  </si>
  <si>
    <t>Scarlet &amp; Violet
#199</t>
  </si>
  <si>
    <t>Paldea Evolved
#017</t>
  </si>
  <si>
    <t>Scarlet &amp; Violet
#016</t>
  </si>
  <si>
    <t>Scarlet &amp; Violet
#018</t>
  </si>
  <si>
    <t>Spidops</t>
  </si>
  <si>
    <t>Scarlet &amp; Violet
#243</t>
  </si>
  <si>
    <t>Scarlet &amp; Violet Promos
#009</t>
  </si>
  <si>
    <t>Paldea Evolved
#018</t>
  </si>
  <si>
    <t>Scarlet &amp; Violet
#019</t>
  </si>
  <si>
    <t>Nymble</t>
  </si>
  <si>
    <t>Lokix</t>
  </si>
  <si>
    <t>Pawmi</t>
  </si>
  <si>
    <t>Paldean Fates
#226</t>
  </si>
  <si>
    <t>Paldean Fates
#142</t>
  </si>
  <si>
    <t>Paldea Evolved
#074</t>
  </si>
  <si>
    <t>Scarlet &amp; Violet
#073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</si>
  <si>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</si>
  <si>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</si>
  <si>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</si>
  <si>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</si>
  <si>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</si>
  <si>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</si>
  <si>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</si>
  <si>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</si>
  <si>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</si>
  <si>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</si>
  <si>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</si>
  <si>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</si>
  <si>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Paldea Evolved
#122</t>
  </si>
  <si>
    <t>Paldean Fates
#177</t>
  </si>
  <si>
    <t>Paradox Rift
#103</t>
  </si>
  <si>
    <t>Garganacl</t>
  </si>
  <si>
    <t>Charcadet</t>
  </si>
  <si>
    <t>Paradox Rift
#025</t>
  </si>
  <si>
    <t>Scarlet &amp; Violet
#040</t>
  </si>
  <si>
    <t>Paldea Evolved
#038</t>
  </si>
  <si>
    <t>Obsidian Flames
#043</t>
  </si>
  <si>
    <t>Armarouge</t>
  </si>
  <si>
    <t>Ceruledge</t>
  </si>
  <si>
    <t>Tadbulb</t>
  </si>
  <si>
    <t>Bellibolt</t>
  </si>
  <si>
    <t>Wattrel</t>
  </si>
  <si>
    <t>Twilight Masquerade
#178</t>
  </si>
  <si>
    <t>Twilight Masquerade
#075</t>
  </si>
  <si>
    <t>Paldea Evolved
#080</t>
  </si>
  <si>
    <t>Scarlet &amp; Violet
#077</t>
  </si>
  <si>
    <t>Kilowattrel</t>
  </si>
  <si>
    <t>Maschiff</t>
  </si>
  <si>
    <t>Paldea Evolved
#142</t>
  </si>
  <si>
    <t>Scarlet &amp; Violet
#136</t>
  </si>
  <si>
    <t>Paldea Evolved
#141</t>
  </si>
  <si>
    <t>Scarlet &amp; Violet
#135</t>
  </si>
  <si>
    <t>Mabosstiff</t>
  </si>
  <si>
    <t>Scarlet &amp; Violet
#218</t>
  </si>
  <si>
    <t>Scarlet &amp; Violet / Paldean Fates
#137 / 63</t>
  </si>
  <si>
    <t>Scarlet &amp; Violet Promos
#86</t>
  </si>
  <si>
    <t>Paldean Fates
#188</t>
  </si>
  <si>
    <t>Shroodle</t>
  </si>
  <si>
    <t>Paldea Evolved
#144</t>
  </si>
  <si>
    <t>Paldean Fates
#189</t>
  </si>
  <si>
    <t>Scarlet &amp; Violet Promos
#099</t>
  </si>
  <si>
    <t>Paldea Evolved
#145</t>
  </si>
  <si>
    <t>Grafaiai</t>
  </si>
  <si>
    <t>Paldea Evolved
#223</t>
  </si>
  <si>
    <t>Paldea Evolved
#146</t>
  </si>
  <si>
    <t>Paldean Fates
#190</t>
  </si>
  <si>
    <t>Bramblin</t>
  </si>
  <si>
    <t>Brambleghast</t>
  </si>
  <si>
    <t>Toedscool</t>
  </si>
  <si>
    <t>Scarlet &amp; Violet
#201</t>
  </si>
  <si>
    <t>Scarlet &amp; Violet
#025</t>
  </si>
  <si>
    <t>Paradox Rift
#016</t>
  </si>
  <si>
    <t>Paldean Fates
#004</t>
  </si>
  <si>
    <t>Toedscruel</t>
  </si>
  <si>
    <t>Klawf</t>
  </si>
  <si>
    <t>Capsakid</t>
  </si>
  <si>
    <t>Scovillain</t>
  </si>
  <si>
    <t>Rellor</t>
  </si>
  <si>
    <t>Rabsca</t>
  </si>
  <si>
    <t>Flittle</t>
  </si>
  <si>
    <t>Paldean Fates
#041</t>
  </si>
  <si>
    <t>Paradox Rift
#080</t>
  </si>
  <si>
    <t>Paradox Rift
#079</t>
  </si>
  <si>
    <t>Scarlet &amp; Violet
#102</t>
  </si>
  <si>
    <t>Espathra</t>
  </si>
  <si>
    <t>Tinkatink</t>
  </si>
  <si>
    <t>Paldea Evolved
#216</t>
  </si>
  <si>
    <t>Paradox Rift
#082</t>
  </si>
  <si>
    <t>Paldea Evolved
#101</t>
  </si>
  <si>
    <t>Paldea Evolved
#102</t>
  </si>
  <si>
    <t>Tinkatuff</t>
  </si>
  <si>
    <t>Tinkaton</t>
  </si>
  <si>
    <t>Paldea Evolved
#262</t>
  </si>
  <si>
    <t>Paldea Evolved
#105</t>
  </si>
  <si>
    <t>Paldea Evolved
#240</t>
  </si>
  <si>
    <t>Paradox Rift
#085</t>
  </si>
  <si>
    <t>Wiglett</t>
  </si>
  <si>
    <t>Scarlet &amp; Violet
#206</t>
  </si>
  <si>
    <t>Scarlet &amp; Violet
#056</t>
  </si>
  <si>
    <t>Obsidian Flames
#058</t>
  </si>
  <si>
    <t>Paradox Rift
#052</t>
  </si>
  <si>
    <t>Wugtrio</t>
  </si>
  <si>
    <t>Paldean Fates
#224</t>
  </si>
  <si>
    <t>Paldean Fates
#122</t>
  </si>
  <si>
    <t>Scarlet &amp; Violet
#057</t>
  </si>
  <si>
    <t>Obsidian Flames
#059</t>
  </si>
  <si>
    <t>Bombirdier</t>
  </si>
  <si>
    <t>Finizen</t>
  </si>
  <si>
    <t>Palafin</t>
  </si>
  <si>
    <t>Obsidian Flames
#200</t>
  </si>
  <si>
    <t>Obsidian Flames
#062</t>
  </si>
  <si>
    <t>Scarlet &amp; Violet Promos
#036</t>
  </si>
  <si>
    <t>Temporal Forces
#049</t>
  </si>
  <si>
    <t>Varoom</t>
  </si>
  <si>
    <t>Obsidian Flames
#206</t>
  </si>
  <si>
    <t>Twilight Masquerade
#124</t>
  </si>
  <si>
    <t>Revavroom</t>
  </si>
  <si>
    <t>Cyclizar</t>
  </si>
  <si>
    <t>Paradox Rift
#215</t>
  </si>
  <si>
    <t>Paldean Fates
#070</t>
  </si>
  <si>
    <t>Paradox Rift
#157</t>
  </si>
  <si>
    <t>McDonald’s Match Battle 2023
#014</t>
  </si>
  <si>
    <t>Orthworm</t>
  </si>
  <si>
    <t>Glimmet</t>
  </si>
  <si>
    <t>Glimmora</t>
  </si>
  <si>
    <t>Greavard</t>
  </si>
  <si>
    <t>Houndstone</t>
  </si>
  <si>
    <t>Scarlet &amp; Violet
#106</t>
  </si>
  <si>
    <t>Scarlet &amp; Violet Promos
#042</t>
  </si>
  <si>
    <t>Obsidian Flames
#101</t>
  </si>
  <si>
    <t>Obsidian Flames
#102</t>
  </si>
  <si>
    <t>Flamigo</t>
  </si>
  <si>
    <t>Cetoddle</t>
  </si>
  <si>
    <t>Cetitan</t>
  </si>
  <si>
    <t>Veluza</t>
  </si>
  <si>
    <t>Dondozo</t>
  </si>
  <si>
    <t>Tatsugiri</t>
  </si>
  <si>
    <t>Twilight Masquerade
#186</t>
  </si>
  <si>
    <t>Scarlet &amp; Violet Promos
#118</t>
  </si>
  <si>
    <t>Paradox Rift
#141</t>
  </si>
  <si>
    <t>Twilight Masquerade
#131</t>
  </si>
  <si>
    <t>Annihilape</t>
  </si>
  <si>
    <t>Clodsire</t>
  </si>
  <si>
    <t>Farigiraf</t>
  </si>
  <si>
    <t>Paldea Evolved
#228</t>
  </si>
  <si>
    <t>Temporal Forces
#194</t>
  </si>
  <si>
    <t>Temporal Forces
#108</t>
  </si>
  <si>
    <t>Twilight Masquerade
#084</t>
  </si>
  <si>
    <t>Dudunsparce</t>
  </si>
  <si>
    <t>Kingambit</t>
  </si>
  <si>
    <t>Great-Tusk</t>
  </si>
  <si>
    <t>Scarlet &amp; Violet
#246</t>
  </si>
  <si>
    <t>Paldean Fates
#053</t>
  </si>
  <si>
    <t>Scarlet &amp; Violet
#230</t>
  </si>
  <si>
    <t>Temporal Forces
#097</t>
  </si>
  <si>
    <t>Scream-Tail</t>
  </si>
  <si>
    <t>Scarlet &amp; Violet Promos
#065</t>
  </si>
  <si>
    <t>Temporal Forces
#077</t>
  </si>
  <si>
    <t>Paradox Rift
#086</t>
  </si>
  <si>
    <t>Twilight Masquerade
#094</t>
  </si>
  <si>
    <t>Brute-Bonnet</t>
  </si>
  <si>
    <t>Flutter-Mane</t>
  </si>
  <si>
    <t>Scarlet &amp; Violet Promos
#097</t>
  </si>
  <si>
    <t>Temporal Forces
#078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</si>
  <si>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</si>
  <si>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</si>
  <si>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</si>
  <si>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</si>
  <si>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</si>
  <si>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</si>
  <si>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</si>
  <si>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</si>
  <si>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</si>
  <si>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</si>
  <si>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</si>
  <si>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Paldea Evolved
#210</t>
  </si>
  <si>
    <t>Scarlet &amp; Violet Promos
#019</t>
  </si>
  <si>
    <t>Paldean Fates
#130</t>
  </si>
  <si>
    <t>Paldea Evolved
#060</t>
  </si>
  <si>
    <t>Gimmighoul</t>
  </si>
  <si>
    <t>Paradox Rift
#198</t>
  </si>
  <si>
    <t>Paldean Fates
#044</t>
  </si>
  <si>
    <t>Paradox Rift
#087</t>
  </si>
  <si>
    <t>Paradox Rift
#088</t>
  </si>
  <si>
    <t>Gholdengo</t>
  </si>
  <si>
    <t>Paradox Rift
#252</t>
  </si>
  <si>
    <t>Paradox Rift
#231</t>
  </si>
  <si>
    <t>Paradox Rift
#139</t>
  </si>
  <si>
    <t>Paldean Fates
#067</t>
  </si>
  <si>
    <t>Wo-Chien</t>
  </si>
  <si>
    <t>Paldea Evolved
#257</t>
  </si>
  <si>
    <t>Paradox Rift
#018</t>
  </si>
  <si>
    <t>Paldea Evolved
#232</t>
  </si>
  <si>
    <t>Paldea Evolved
#027</t>
  </si>
  <si>
    <t>Chien-Pao</t>
  </si>
  <si>
    <t>Ting-Lu</t>
  </si>
  <si>
    <t>Chi-Yu</t>
  </si>
  <si>
    <t>Roaring-Moon</t>
  </si>
  <si>
    <t>Iron-Valiant</t>
  </si>
  <si>
    <t>Paradox Rift
#249</t>
  </si>
  <si>
    <t>Paradox Rift
#225</t>
  </si>
  <si>
    <t>Temporal Forces
#080</t>
  </si>
  <si>
    <t>Temporal Forces
#079</t>
  </si>
  <si>
    <t>Koraidon</t>
  </si>
  <si>
    <t>Miraidon</t>
  </si>
  <si>
    <t>Walking-Wake</t>
  </si>
  <si>
    <t>Iron-Leaves</t>
  </si>
  <si>
    <t>Dipplin</t>
  </si>
  <si>
    <t>Twilight Masquerade
#170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</si>
  <si>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</si>
  <si>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</si>
  <si>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</si>
  <si>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</si>
  <si>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</si>
  <si>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</si>
  <si>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</si>
  <si>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</si>
  <si>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</si>
  <si>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Temporal Forces
#204</t>
  </si>
  <si>
    <t>Temporal Forces
#188</t>
  </si>
  <si>
    <t>Temporal Forces
#038</t>
  </si>
  <si>
    <t>Temporal Forces
#214</t>
  </si>
  <si>
    <t>Raging-Bolt</t>
  </si>
  <si>
    <t>Temporal Forces
#208</t>
  </si>
  <si>
    <t>Temporal Forces
#196</t>
  </si>
  <si>
    <t>Temporal Forces
#123</t>
  </si>
  <si>
    <t>Temporal Forces
#218</t>
  </si>
  <si>
    <t>Iron-Boulder</t>
  </si>
  <si>
    <t>Iron-Crown</t>
  </si>
  <si>
    <t>Terapagos</t>
  </si>
  <si>
    <t>Pecharunt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</si>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</sst>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2312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G5" t="s">
        <v>9</v>
      </c>
    </row>
    <row r="6" spans="1:11">
      <c r="C6" s="4" t="s">
        <v>8</v>
      </c>
    </row>
    <row r="8" spans="1:11" ht="264" customHeight="1">
      <c r="A8" s="2">
        <v>3</v>
      </c>
      <c r="B8" s="3" t="s">
        <v>11</v>
      </c>
      <c r="C8">
        <f>IMAGE("https://raw.githubusercontent.com/stautonico/tcg-livingdex/main/images/3/1.png", 2)</f>
        <v>0</v>
      </c>
      <c r="G8" t="s">
        <v>9</v>
      </c>
    </row>
    <row r="9" spans="1:11">
      <c r="C9" s="4" t="s">
        <v>8</v>
      </c>
    </row>
    <row r="11" spans="1:11" ht="264" customHeight="1">
      <c r="A11" s="2">
        <v>4</v>
      </c>
      <c r="B11" s="3" t="s">
        <v>12</v>
      </c>
      <c r="C11">
        <f>IMAGE("https://raw.githubusercontent.com/stautonico/tcg-livingdex/main/images/4/1.png", 2)</f>
        <v>0</v>
      </c>
      <c r="D11">
        <f>IMAGE("https://raw.githubusercontent.com/stautonico/tcg-livingdex/main/images/4/2.png", 2)</f>
        <v>0</v>
      </c>
      <c r="G11" t="s">
        <v>9</v>
      </c>
    </row>
    <row r="12" spans="1:11">
      <c r="C12" s="4" t="s">
        <v>13</v>
      </c>
      <c r="D12" s="4" t="s">
        <v>14</v>
      </c>
    </row>
    <row r="14" spans="1:11" ht="264" customHeight="1">
      <c r="A14" s="2">
        <v>5</v>
      </c>
      <c r="B14" s="3" t="s">
        <v>15</v>
      </c>
      <c r="C14">
        <f>IMAGE("https://raw.githubusercontent.com/stautonico/tcg-livingdex/main/images/5/1.png", 2)</f>
        <v>0</v>
      </c>
      <c r="D14">
        <f>IMAGE("https://raw.githubusercontent.com/stautonico/tcg-livingdex/main/images/5/2.png", 2)</f>
        <v>0</v>
      </c>
      <c r="E14">
        <f>IMAGE("https://raw.githubusercontent.com/stautonico/tcg-livingdex/main/images/5/3.png", 2)</f>
        <v>0</v>
      </c>
      <c r="F14">
        <f>IMAGE("https://raw.githubusercontent.com/stautonico/tcg-livingdex/main/images/5/4.png", 2)</f>
        <v>0</v>
      </c>
      <c r="G14" t="s">
        <v>9</v>
      </c>
    </row>
    <row r="15" spans="1:11">
      <c r="C15" s="4" t="s">
        <v>16</v>
      </c>
      <c r="D15" s="4" t="s">
        <v>17</v>
      </c>
      <c r="E15" s="4" t="s">
        <v>18</v>
      </c>
      <c r="F15" s="4" t="s">
        <v>19</v>
      </c>
    </row>
    <row r="17" spans="1:7" ht="264" customHeight="1">
      <c r="A17" s="2">
        <v>6</v>
      </c>
      <c r="B17" s="3" t="s">
        <v>20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8</v>
      </c>
    </row>
    <row r="20" spans="1:7" ht="264" customHeight="1">
      <c r="A20" s="2">
        <v>7</v>
      </c>
      <c r="B20" s="3" t="s">
        <v>21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8</v>
      </c>
    </row>
    <row r="23" spans="1:7" ht="264" customHeight="1">
      <c r="A23" s="2">
        <v>8</v>
      </c>
      <c r="B23" s="3" t="s">
        <v>22</v>
      </c>
      <c r="C23">
        <f>IMAGE("https://raw.githubusercontent.com/stautonico/tcg-livingdex/main/images/8/1.png", 2)</f>
        <v>0</v>
      </c>
      <c r="D23">
        <f>IMAGE("https://raw.githubusercontent.com/stautonico/tcg-livingdex/main/images/8/2.png", 2)</f>
        <v>0</v>
      </c>
      <c r="E23">
        <f>IMAGE("https://raw.githubusercontent.com/stautonico/tcg-livingdex/main/images/8/3.png", 2)</f>
        <v>0</v>
      </c>
      <c r="F23">
        <f>IMAGE("https://raw.githubusercontent.com/stautonico/tcg-livingdex/main/images/8/4.png", 2)</f>
        <v>0</v>
      </c>
      <c r="G23" t="s">
        <v>9</v>
      </c>
    </row>
    <row r="24" spans="1:7">
      <c r="C24" s="4" t="s">
        <v>23</v>
      </c>
      <c r="D24" s="4" t="s">
        <v>24</v>
      </c>
      <c r="E24" s="4" t="s">
        <v>25</v>
      </c>
      <c r="F24" s="4" t="s">
        <v>26</v>
      </c>
    </row>
    <row r="26" spans="1:7" ht="264" customHeight="1">
      <c r="A26" s="2">
        <v>9</v>
      </c>
      <c r="B26" s="3" t="s">
        <v>27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8</v>
      </c>
    </row>
    <row r="29" spans="1:7" ht="264" customHeight="1">
      <c r="A29" s="2">
        <v>10</v>
      </c>
      <c r="B29" s="3" t="s">
        <v>28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8</v>
      </c>
    </row>
    <row r="32" spans="1:7" ht="264" customHeight="1">
      <c r="A32" s="2">
        <v>11</v>
      </c>
      <c r="B32" s="3" t="s">
        <v>29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8</v>
      </c>
    </row>
    <row r="35" spans="1:7" ht="264" customHeight="1">
      <c r="A35" s="2">
        <v>12</v>
      </c>
      <c r="B35" s="3" t="s">
        <v>30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8</v>
      </c>
    </row>
    <row r="38" spans="1:7" ht="264" customHeight="1">
      <c r="A38" s="2">
        <v>13</v>
      </c>
      <c r="B38" s="3" t="s">
        <v>31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8</v>
      </c>
    </row>
    <row r="41" spans="1:7" ht="264" customHeight="1">
      <c r="A41" s="2">
        <v>14</v>
      </c>
      <c r="B41" s="3" t="s">
        <v>32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8</v>
      </c>
    </row>
    <row r="44" spans="1:7" ht="264" customHeight="1">
      <c r="A44" s="2">
        <v>15</v>
      </c>
      <c r="B44" s="3" t="s">
        <v>33</v>
      </c>
      <c r="C44">
        <f>IMAGE("https://raw.githubusercontent.com/stautonico/tcg-livingdex/main/images/15/1.png", 2)</f>
        <v>0</v>
      </c>
      <c r="D44">
        <f>IMAGE("https://raw.githubusercontent.com/stautonico/tcg-livingdex/main/images/15/2.png", 2)</f>
        <v>0</v>
      </c>
      <c r="E44">
        <f>IMAGE("https://raw.githubusercontent.com/stautonico/tcg-livingdex/main/images/15/3.png", 2)</f>
        <v>0</v>
      </c>
      <c r="F44">
        <f>IMAGE("https://raw.githubusercontent.com/stautonico/tcg-livingdex/main/images/15/4.png", 2)</f>
        <v>0</v>
      </c>
      <c r="G44" t="s">
        <v>9</v>
      </c>
    </row>
    <row r="45" spans="1:7">
      <c r="C45" s="4" t="s">
        <v>34</v>
      </c>
      <c r="D45" s="4" t="s">
        <v>35</v>
      </c>
      <c r="E45" s="4" t="s">
        <v>36</v>
      </c>
      <c r="F45" s="4" t="s">
        <v>37</v>
      </c>
    </row>
    <row r="47" spans="1:7" ht="264" customHeight="1">
      <c r="A47" s="2">
        <v>16</v>
      </c>
      <c r="B47" s="3" t="s">
        <v>38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8</v>
      </c>
    </row>
    <row r="50" spans="1:7" ht="264" customHeight="1">
      <c r="A50" s="2">
        <v>17</v>
      </c>
      <c r="B50" s="3" t="s">
        <v>39</v>
      </c>
      <c r="C50">
        <f>IMAGE("https://raw.githubusercontent.com/stautonico/tcg-livingdex/main/images/17/1.png", 2)</f>
        <v>0</v>
      </c>
      <c r="D50">
        <f>IMAGE("https://raw.githubusercontent.com/stautonico/tcg-livingdex/main/images/17/2.png", 2)</f>
        <v>0</v>
      </c>
      <c r="E50">
        <f>IMAGE("https://raw.githubusercontent.com/stautonico/tcg-livingdex/main/images/17/3.png", 2)</f>
        <v>0</v>
      </c>
      <c r="F50">
        <f>IMAGE("https://raw.githubusercontent.com/stautonico/tcg-livingdex/main/images/17/4.png", 2)</f>
        <v>0</v>
      </c>
      <c r="G50" t="s">
        <v>9</v>
      </c>
    </row>
    <row r="51" spans="1:7">
      <c r="C51" s="4" t="s">
        <v>40</v>
      </c>
      <c r="D51" s="4" t="s">
        <v>41</v>
      </c>
      <c r="E51" s="4" t="s">
        <v>42</v>
      </c>
      <c r="F51" s="4" t="s">
        <v>43</v>
      </c>
    </row>
    <row r="53" spans="1:7" ht="264" customHeight="1">
      <c r="A53" s="2">
        <v>18</v>
      </c>
      <c r="B53" s="3" t="s">
        <v>44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8</v>
      </c>
    </row>
    <row r="56" spans="1:7" ht="264" customHeight="1">
      <c r="A56" s="2">
        <v>19</v>
      </c>
      <c r="B56" s="3" t="s">
        <v>45</v>
      </c>
      <c r="C56">
        <f>IMAGE("https://raw.githubusercontent.com/stautonico/tcg-livingdex/main/images/19/1.png", 2)</f>
        <v>0</v>
      </c>
      <c r="D56">
        <f>IMAGE("https://raw.githubusercontent.com/stautonico/tcg-livingdex/main/images/19/2.png", 2)</f>
        <v>0</v>
      </c>
      <c r="E56">
        <f>IMAGE("https://raw.githubusercontent.com/stautonico/tcg-livingdex/main/images/19/3.png", 2)</f>
        <v>0</v>
      </c>
      <c r="F56">
        <f>IMAGE("https://raw.githubusercontent.com/stautonico/tcg-livingdex/main/images/19/4.png", 2)</f>
        <v>0</v>
      </c>
      <c r="G56" t="s">
        <v>9</v>
      </c>
    </row>
    <row r="57" spans="1:7">
      <c r="C57" s="4" t="s">
        <v>46</v>
      </c>
      <c r="D57" s="4" t="s">
        <v>47</v>
      </c>
      <c r="E57" s="4" t="s">
        <v>48</v>
      </c>
      <c r="F57" s="4" t="s">
        <v>49</v>
      </c>
    </row>
    <row r="59" spans="1:7" ht="264" customHeight="1">
      <c r="A59" s="2">
        <v>20</v>
      </c>
      <c r="B59" s="3" t="s">
        <v>50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8</v>
      </c>
    </row>
    <row r="62" spans="1:7" ht="264" customHeight="1">
      <c r="A62" s="2">
        <v>21</v>
      </c>
      <c r="B62" s="3" t="s">
        <v>51</v>
      </c>
      <c r="C62">
        <f>IMAGE("https://raw.githubusercontent.com/stautonico/tcg-livingdex/main/images/21/1.png", 2)</f>
        <v>0</v>
      </c>
      <c r="D62">
        <f>IMAGE("https://raw.githubusercontent.com/stautonico/tcg-livingdex/main/images/21/2.png", 2)</f>
        <v>0</v>
      </c>
      <c r="E62">
        <f>IMAGE("https://raw.githubusercontent.com/stautonico/tcg-livingdex/main/images/21/3.png", 2)</f>
        <v>0</v>
      </c>
      <c r="F62">
        <f>IMAGE("https://raw.githubusercontent.com/stautonico/tcg-livingdex/main/images/21/4.png", 2)</f>
        <v>0</v>
      </c>
      <c r="G62" t="s">
        <v>9</v>
      </c>
    </row>
    <row r="63" spans="1:7">
      <c r="C63" s="4" t="s">
        <v>52</v>
      </c>
      <c r="D63" s="4" t="s">
        <v>53</v>
      </c>
      <c r="E63" s="4" t="s">
        <v>54</v>
      </c>
      <c r="F63" s="4" t="s">
        <v>55</v>
      </c>
    </row>
    <row r="65" spans="1:7" ht="264" customHeight="1">
      <c r="A65" s="2">
        <v>22</v>
      </c>
      <c r="B65" s="3" t="s">
        <v>56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8</v>
      </c>
    </row>
    <row r="68" spans="1:7" ht="264" customHeight="1">
      <c r="A68" s="2">
        <v>23</v>
      </c>
      <c r="B68" s="3" t="s">
        <v>57</v>
      </c>
      <c r="C68">
        <f>IMAGE("https://raw.githubusercontent.com/stautonico/tcg-livingdex/main/images/23/1.png", 2)</f>
        <v>0</v>
      </c>
      <c r="D68">
        <f>IMAGE("https://raw.githubusercontent.com/stautonico/tcg-livingdex/main/images/23/2.png", 2)</f>
        <v>0</v>
      </c>
      <c r="E68">
        <f>IMAGE("https://raw.githubusercontent.com/stautonico/tcg-livingdex/main/images/23/3.png", 2)</f>
        <v>0</v>
      </c>
      <c r="F68">
        <f>IMAGE("https://raw.githubusercontent.com/stautonico/tcg-livingdex/main/images/23/4.png", 2)</f>
        <v>0</v>
      </c>
      <c r="G68" t="s">
        <v>9</v>
      </c>
    </row>
    <row r="69" spans="1:7">
      <c r="C69" s="4" t="s">
        <v>58</v>
      </c>
      <c r="D69" s="4" t="s">
        <v>59</v>
      </c>
      <c r="E69" s="4" t="s">
        <v>60</v>
      </c>
      <c r="F69" s="4" t="s">
        <v>61</v>
      </c>
    </row>
    <row r="71" spans="1:7" ht="264" customHeight="1">
      <c r="A71" s="2">
        <v>24</v>
      </c>
      <c r="B71" s="3" t="s">
        <v>62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8</v>
      </c>
    </row>
    <row r="74" spans="1:7" ht="264" customHeight="1">
      <c r="A74" s="2">
        <v>25</v>
      </c>
      <c r="B74" s="3" t="s">
        <v>63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8</v>
      </c>
    </row>
    <row r="77" spans="1:7" ht="264" customHeight="1">
      <c r="A77" s="2">
        <v>26</v>
      </c>
      <c r="B77" s="3" t="s">
        <v>64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8</v>
      </c>
    </row>
    <row r="80" spans="1:7" ht="264" customHeight="1">
      <c r="A80" s="2">
        <v>27</v>
      </c>
      <c r="B80" s="3" t="s">
        <v>65</v>
      </c>
      <c r="C80">
        <f>IMAGE("https://raw.githubusercontent.com/stautonico/tcg-livingdex/main/images/27/1.png", 2)</f>
        <v>0</v>
      </c>
      <c r="D80">
        <f>IMAGE("https://raw.githubusercontent.com/stautonico/tcg-livingdex/main/images/27/2.png", 2)</f>
        <v>0</v>
      </c>
      <c r="E80">
        <f>IMAGE("https://raw.githubusercontent.com/stautonico/tcg-livingdex/main/images/27/3.png", 2)</f>
        <v>0</v>
      </c>
      <c r="F80">
        <f>IMAGE("https://raw.githubusercontent.com/stautonico/tcg-livingdex/main/images/27/4.png", 2)</f>
        <v>0</v>
      </c>
      <c r="G80" t="s">
        <v>9</v>
      </c>
    </row>
    <row r="81" spans="1:7">
      <c r="C81" s="4" t="s">
        <v>66</v>
      </c>
      <c r="D81" s="4" t="s">
        <v>67</v>
      </c>
      <c r="E81" s="4" t="s">
        <v>68</v>
      </c>
      <c r="F81" s="4" t="s">
        <v>69</v>
      </c>
    </row>
    <row r="83" spans="1:7" ht="264" customHeight="1">
      <c r="A83" s="2">
        <v>28</v>
      </c>
      <c r="B83" s="3" t="s">
        <v>70</v>
      </c>
      <c r="C83">
        <f>IMAGE("https://raw.githubusercontent.com/stautonico/tcg-livingdex/main/images/28/1.png", 2)</f>
        <v>0</v>
      </c>
      <c r="D83">
        <f>IMAGE("https://raw.githubusercontent.com/stautonico/tcg-livingdex/main/images/28/2.png", 2)</f>
        <v>0</v>
      </c>
      <c r="E83">
        <f>IMAGE("https://raw.githubusercontent.com/stautonico/tcg-livingdex/main/images/28/3.png", 2)</f>
        <v>0</v>
      </c>
      <c r="F83">
        <f>IMAGE("https://raw.githubusercontent.com/stautonico/tcg-livingdex/main/images/28/4.png", 2)</f>
        <v>0</v>
      </c>
      <c r="G83" t="s">
        <v>9</v>
      </c>
    </row>
    <row r="84" spans="1:7">
      <c r="C84" s="4" t="s">
        <v>71</v>
      </c>
      <c r="D84" s="4" t="s">
        <v>72</v>
      </c>
      <c r="E84" s="4" t="s">
        <v>73</v>
      </c>
      <c r="F84" s="4" t="s">
        <v>74</v>
      </c>
    </row>
    <row r="86" spans="1:7" ht="264" customHeight="1">
      <c r="A86" s="2">
        <v>29</v>
      </c>
      <c r="B86" s="3" t="s">
        <v>75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8</v>
      </c>
    </row>
    <row r="89" spans="1:7" ht="264" customHeight="1">
      <c r="A89" s="2">
        <v>30</v>
      </c>
      <c r="B89" s="3" t="s">
        <v>76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8</v>
      </c>
    </row>
    <row r="92" spans="1:7" ht="264" customHeight="1">
      <c r="A92" s="2">
        <v>31</v>
      </c>
      <c r="B92" s="3" t="s">
        <v>77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8</v>
      </c>
    </row>
    <row r="95" spans="1:7" ht="264" customHeight="1">
      <c r="A95" s="2">
        <v>32</v>
      </c>
      <c r="B95" s="3" t="s">
        <v>78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8</v>
      </c>
    </row>
    <row r="98" spans="1:7" ht="264" customHeight="1">
      <c r="A98" s="2">
        <v>33</v>
      </c>
      <c r="B98" s="3" t="s">
        <v>79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8</v>
      </c>
    </row>
    <row r="101" spans="1:7" ht="264" customHeight="1">
      <c r="A101" s="2">
        <v>34</v>
      </c>
      <c r="B101" s="3" t="s">
        <v>80</v>
      </c>
      <c r="C101">
        <f>IMAGE("https://raw.githubusercontent.com/stautonico/tcg-livingdex/main/images/34/1.png", 2)</f>
        <v>0</v>
      </c>
      <c r="D101">
        <f>IMAGE("https://raw.githubusercontent.com/stautonico/tcg-livingdex/main/images/34/2.png", 2)</f>
        <v>0</v>
      </c>
      <c r="E101">
        <f>IMAGE("https://raw.githubusercontent.com/stautonico/tcg-livingdex/main/images/34/3.png", 2)</f>
        <v>0</v>
      </c>
      <c r="F101">
        <f>IMAGE("https://raw.githubusercontent.com/stautonico/tcg-livingdex/main/images/34/4.png", 2)</f>
        <v>0</v>
      </c>
      <c r="G101" t="s">
        <v>9</v>
      </c>
    </row>
    <row r="102" spans="1:7">
      <c r="C102" s="4" t="s">
        <v>81</v>
      </c>
      <c r="D102" s="4" t="s">
        <v>82</v>
      </c>
      <c r="E102" s="4" t="s">
        <v>83</v>
      </c>
      <c r="F102" s="4" t="s">
        <v>84</v>
      </c>
    </row>
    <row r="104" spans="1:7" ht="264" customHeight="1">
      <c r="A104" s="2">
        <v>35</v>
      </c>
      <c r="B104" s="3" t="s">
        <v>85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8</v>
      </c>
    </row>
    <row r="107" spans="1:7" ht="264" customHeight="1">
      <c r="A107" s="2">
        <v>36</v>
      </c>
      <c r="B107" s="3" t="s">
        <v>86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8</v>
      </c>
    </row>
    <row r="110" spans="1:7" ht="264" customHeight="1">
      <c r="A110" s="2">
        <v>37</v>
      </c>
      <c r="B110" s="3" t="s">
        <v>87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8</v>
      </c>
    </row>
    <row r="113" spans="1:7" ht="264" customHeight="1">
      <c r="A113" s="2">
        <v>38</v>
      </c>
      <c r="B113" s="3" t="s">
        <v>88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8</v>
      </c>
    </row>
    <row r="116" spans="1:7" ht="264" customHeight="1">
      <c r="A116" s="2">
        <v>39</v>
      </c>
      <c r="B116" s="3" t="s">
        <v>89</v>
      </c>
      <c r="C116">
        <f>IMAGE("https://raw.githubusercontent.com/stautonico/tcg-livingdex/main/images/39/1.png", 2)</f>
        <v>0</v>
      </c>
      <c r="D116">
        <f>IMAGE("https://raw.githubusercontent.com/stautonico/tcg-livingdex/main/images/39/2.png", 2)</f>
        <v>0</v>
      </c>
      <c r="E116">
        <f>IMAGE("https://raw.githubusercontent.com/stautonico/tcg-livingdex/main/images/39/3.png", 2)</f>
        <v>0</v>
      </c>
      <c r="F116">
        <f>IMAGE("https://raw.githubusercontent.com/stautonico/tcg-livingdex/main/images/39/4.png", 2)</f>
        <v>0</v>
      </c>
      <c r="G116" t="s">
        <v>9</v>
      </c>
    </row>
    <row r="117" spans="1:7">
      <c r="C117" s="4" t="s">
        <v>90</v>
      </c>
      <c r="D117" s="4" t="s">
        <v>91</v>
      </c>
      <c r="E117" s="4" t="s">
        <v>92</v>
      </c>
      <c r="F117" s="4" t="s">
        <v>93</v>
      </c>
    </row>
    <row r="119" spans="1:7" ht="264" customHeight="1">
      <c r="A119" s="2">
        <v>40</v>
      </c>
      <c r="B119" s="3" t="s">
        <v>94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8</v>
      </c>
    </row>
    <row r="122" spans="1:7" ht="264" customHeight="1">
      <c r="A122" s="2">
        <v>41</v>
      </c>
      <c r="B122" s="3" t="s">
        <v>95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8</v>
      </c>
    </row>
    <row r="125" spans="1:7" ht="264" customHeight="1">
      <c r="A125" s="2">
        <v>42</v>
      </c>
      <c r="B125" s="3" t="s">
        <v>96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8</v>
      </c>
    </row>
    <row r="128" spans="1:7" ht="264" customHeight="1">
      <c r="A128" s="2">
        <v>43</v>
      </c>
      <c r="B128" s="3" t="s">
        <v>97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8</v>
      </c>
    </row>
    <row r="131" spans="1:7" ht="264" customHeight="1">
      <c r="A131" s="2">
        <v>44</v>
      </c>
      <c r="B131" s="3" t="s">
        <v>98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8</v>
      </c>
    </row>
    <row r="134" spans="1:7" ht="264" customHeight="1">
      <c r="A134" s="2">
        <v>45</v>
      </c>
      <c r="B134" s="3" t="s">
        <v>99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8</v>
      </c>
    </row>
    <row r="137" spans="1:7" ht="264" customHeight="1">
      <c r="A137" s="2">
        <v>46</v>
      </c>
      <c r="B137" s="3" t="s">
        <v>100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8</v>
      </c>
    </row>
    <row r="140" spans="1:7" ht="264" customHeight="1">
      <c r="A140" s="2">
        <v>47</v>
      </c>
      <c r="B140" s="3" t="s">
        <v>101</v>
      </c>
      <c r="C140">
        <f>IMAGE("https://raw.githubusercontent.com/stautonico/tcg-livingdex/main/images/47/1.png", 2)</f>
        <v>0</v>
      </c>
      <c r="D140">
        <f>IMAGE("https://raw.githubusercontent.com/stautonico/tcg-livingdex/main/images/47/2.png", 2)</f>
        <v>0</v>
      </c>
      <c r="E140">
        <f>IMAGE("https://raw.githubusercontent.com/stautonico/tcg-livingdex/main/images/47/3.png", 2)</f>
        <v>0</v>
      </c>
      <c r="F140">
        <f>IMAGE("https://raw.githubusercontent.com/stautonico/tcg-livingdex/main/images/47/4.png", 2)</f>
        <v>0</v>
      </c>
      <c r="G140" t="s">
        <v>9</v>
      </c>
    </row>
    <row r="141" spans="1:7">
      <c r="C141" s="4" t="s">
        <v>102</v>
      </c>
      <c r="D141" s="4" t="s">
        <v>103</v>
      </c>
      <c r="E141" s="4" t="s">
        <v>104</v>
      </c>
      <c r="F141" s="4" t="s">
        <v>105</v>
      </c>
    </row>
    <row r="143" spans="1:7" ht="264" customHeight="1">
      <c r="A143" s="2">
        <v>48</v>
      </c>
      <c r="B143" s="3" t="s">
        <v>106</v>
      </c>
      <c r="C143">
        <f>IMAGE("https://raw.githubusercontent.com/stautonico/tcg-livingdex/main/images/48/1.png", 2)</f>
        <v>0</v>
      </c>
      <c r="D143">
        <f>IMAGE("https://raw.githubusercontent.com/stautonico/tcg-livingdex/main/images/48/2.png", 2)</f>
        <v>0</v>
      </c>
      <c r="E143">
        <f>IMAGE("https://raw.githubusercontent.com/stautonico/tcg-livingdex/main/images/48/3.png", 2)</f>
        <v>0</v>
      </c>
      <c r="F143">
        <f>IMAGE("https://raw.githubusercontent.com/stautonico/tcg-livingdex/main/images/48/4.png", 2)</f>
        <v>0</v>
      </c>
      <c r="G143" t="s">
        <v>9</v>
      </c>
    </row>
    <row r="144" spans="1:7">
      <c r="C144" s="4" t="s">
        <v>107</v>
      </c>
      <c r="D144" s="4" t="s">
        <v>108</v>
      </c>
      <c r="E144" s="4" t="s">
        <v>109</v>
      </c>
      <c r="F144" s="4" t="s">
        <v>110</v>
      </c>
    </row>
    <row r="146" spans="1:7" ht="264" customHeight="1">
      <c r="A146" s="2">
        <v>49</v>
      </c>
      <c r="B146" s="3" t="s">
        <v>111</v>
      </c>
      <c r="C146">
        <f>IMAGE("https://raw.githubusercontent.com/stautonico/tcg-livingdex/main/images/49/1.png", 2)</f>
        <v>0</v>
      </c>
      <c r="D146">
        <f>IMAGE("https://raw.githubusercontent.com/stautonico/tcg-livingdex/main/images/49/2.png", 2)</f>
        <v>0</v>
      </c>
      <c r="E146">
        <f>IMAGE("https://raw.githubusercontent.com/stautonico/tcg-livingdex/main/images/49/3.png", 2)</f>
        <v>0</v>
      </c>
      <c r="F146">
        <f>IMAGE("https://raw.githubusercontent.com/stautonico/tcg-livingdex/main/images/49/4.png", 2)</f>
        <v>0</v>
      </c>
      <c r="G146" t="s">
        <v>9</v>
      </c>
    </row>
    <row r="147" spans="1:7">
      <c r="C147" s="4" t="s">
        <v>112</v>
      </c>
      <c r="D147" s="4" t="s">
        <v>113</v>
      </c>
      <c r="E147" s="4" t="s">
        <v>114</v>
      </c>
      <c r="F147" s="4" t="s">
        <v>115</v>
      </c>
    </row>
    <row r="149" spans="1:7" ht="264" customHeight="1">
      <c r="A149" s="2">
        <v>50</v>
      </c>
      <c r="B149" s="3" t="s">
        <v>116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8</v>
      </c>
    </row>
    <row r="152" spans="1:7" ht="264" customHeight="1">
      <c r="A152" s="2">
        <v>51</v>
      </c>
      <c r="B152" s="3" t="s">
        <v>117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8</v>
      </c>
    </row>
    <row r="155" spans="1:7" ht="264" customHeight="1">
      <c r="A155" s="2">
        <v>52</v>
      </c>
      <c r="B155" s="3" t="s">
        <v>118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8</v>
      </c>
    </row>
    <row r="158" spans="1:7" ht="264" customHeight="1">
      <c r="A158" s="2">
        <v>53</v>
      </c>
      <c r="B158" s="3" t="s">
        <v>119</v>
      </c>
      <c r="C158">
        <f>IMAGE("https://raw.githubusercontent.com/stautonico/tcg-livingdex/main/images/53/1.png", 2)</f>
        <v>0</v>
      </c>
      <c r="D158">
        <f>IMAGE("https://raw.githubusercontent.com/stautonico/tcg-livingdex/main/images/53/2.png", 2)</f>
        <v>0</v>
      </c>
      <c r="E158">
        <f>IMAGE("https://raw.githubusercontent.com/stautonico/tcg-livingdex/main/images/53/3.png", 2)</f>
        <v>0</v>
      </c>
      <c r="F158">
        <f>IMAGE("https://raw.githubusercontent.com/stautonico/tcg-livingdex/main/images/53/4.png", 2)</f>
        <v>0</v>
      </c>
      <c r="G158" t="s">
        <v>9</v>
      </c>
    </row>
    <row r="159" spans="1:7">
      <c r="C159" s="4" t="s">
        <v>120</v>
      </c>
      <c r="D159" s="4" t="s">
        <v>121</v>
      </c>
      <c r="E159" s="4" t="s">
        <v>122</v>
      </c>
      <c r="F159" s="4" t="s">
        <v>123</v>
      </c>
    </row>
    <row r="161" spans="1:7" ht="264" customHeight="1">
      <c r="A161" s="2">
        <v>54</v>
      </c>
      <c r="B161" s="3" t="s">
        <v>124</v>
      </c>
      <c r="C161">
        <f>IMAGE("https://raw.githubusercontent.com/stautonico/tcg-livingdex/main/images/54/1.png", 2)</f>
        <v>0</v>
      </c>
      <c r="D161">
        <f>IMAGE("https://raw.githubusercontent.com/stautonico/tcg-livingdex/main/images/54/2.png", 2)</f>
        <v>0</v>
      </c>
      <c r="E161">
        <f>IMAGE("https://raw.githubusercontent.com/stautonico/tcg-livingdex/main/images/54/3.png", 2)</f>
        <v>0</v>
      </c>
      <c r="F161">
        <f>IMAGE("https://raw.githubusercontent.com/stautonico/tcg-livingdex/main/images/54/4.png", 2)</f>
        <v>0</v>
      </c>
      <c r="G161" t="s">
        <v>9</v>
      </c>
    </row>
    <row r="162" spans="1:7">
      <c r="C162" s="4" t="s">
        <v>125</v>
      </c>
      <c r="D162" s="4" t="s">
        <v>126</v>
      </c>
      <c r="E162" s="4" t="s">
        <v>127</v>
      </c>
      <c r="F162" s="4" t="s">
        <v>128</v>
      </c>
    </row>
    <row r="164" spans="1:7" ht="264" customHeight="1">
      <c r="A164" s="2">
        <v>55</v>
      </c>
      <c r="B164" s="3" t="s">
        <v>129</v>
      </c>
      <c r="C164">
        <f>IMAGE("https://raw.githubusercontent.com/stautonico/tcg-livingdex/main/images/55/1.png", 2)</f>
        <v>0</v>
      </c>
      <c r="D164">
        <f>IMAGE("https://raw.githubusercontent.com/stautonico/tcg-livingdex/main/images/55/2.png", 2)</f>
        <v>0</v>
      </c>
      <c r="E164">
        <f>IMAGE("https://raw.githubusercontent.com/stautonico/tcg-livingdex/main/images/55/3.png", 2)</f>
        <v>0</v>
      </c>
      <c r="F164">
        <f>IMAGE("https://raw.githubusercontent.com/stautonico/tcg-livingdex/main/images/55/4.png", 2)</f>
        <v>0</v>
      </c>
      <c r="G164" t="s">
        <v>9</v>
      </c>
    </row>
    <row r="165" spans="1:7">
      <c r="C165" s="4" t="s">
        <v>130</v>
      </c>
      <c r="D165" s="4" t="s">
        <v>131</v>
      </c>
      <c r="E165" s="4" t="s">
        <v>132</v>
      </c>
      <c r="F165" s="4" t="s">
        <v>133</v>
      </c>
    </row>
    <row r="167" spans="1:7" ht="264" customHeight="1">
      <c r="A167" s="2">
        <v>56</v>
      </c>
      <c r="B167" s="3" t="s">
        <v>134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8</v>
      </c>
    </row>
    <row r="170" spans="1:7" ht="264" customHeight="1">
      <c r="A170" s="2">
        <v>57</v>
      </c>
      <c r="B170" s="3" t="s">
        <v>135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8</v>
      </c>
    </row>
    <row r="173" spans="1:7" ht="264" customHeight="1">
      <c r="A173" s="2">
        <v>58</v>
      </c>
      <c r="B173" s="3" t="s">
        <v>136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8</v>
      </c>
    </row>
    <row r="176" spans="1:7" ht="264" customHeight="1">
      <c r="A176" s="2">
        <v>59</v>
      </c>
      <c r="B176" s="3" t="s">
        <v>137</v>
      </c>
      <c r="C176">
        <f>IMAGE("https://raw.githubusercontent.com/stautonico/tcg-livingdex/main/images/59/1.png", 2)</f>
        <v>0</v>
      </c>
      <c r="D176">
        <f>IMAGE("https://raw.githubusercontent.com/stautonico/tcg-livingdex/main/images/59/2.png", 2)</f>
        <v>0</v>
      </c>
      <c r="G176" t="s">
        <v>9</v>
      </c>
    </row>
    <row r="177" spans="1:7">
      <c r="C177" s="4" t="s">
        <v>138</v>
      </c>
      <c r="D177" s="4" t="s">
        <v>139</v>
      </c>
    </row>
    <row r="179" spans="1:7" ht="264" customHeight="1">
      <c r="A179" s="2">
        <v>60</v>
      </c>
      <c r="B179" s="3" t="s">
        <v>140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8</v>
      </c>
    </row>
    <row r="182" spans="1:7" ht="264" customHeight="1">
      <c r="A182" s="2">
        <v>61</v>
      </c>
      <c r="B182" s="3" t="s">
        <v>141</v>
      </c>
      <c r="C182">
        <f>IMAGE("https://raw.githubusercontent.com/stautonico/tcg-livingdex/main/images/61/1.png", 2)</f>
        <v>0</v>
      </c>
      <c r="D182">
        <f>IMAGE("https://raw.githubusercontent.com/stautonico/tcg-livingdex/main/images/61/2.png", 2)</f>
        <v>0</v>
      </c>
      <c r="E182">
        <f>IMAGE("https://raw.githubusercontent.com/stautonico/tcg-livingdex/main/images/61/3.png", 2)</f>
        <v>0</v>
      </c>
      <c r="F182">
        <f>IMAGE("https://raw.githubusercontent.com/stautonico/tcg-livingdex/main/images/61/4.png", 2)</f>
        <v>0</v>
      </c>
      <c r="G182" t="s">
        <v>9</v>
      </c>
    </row>
    <row r="183" spans="1:7">
      <c r="C183" s="4" t="s">
        <v>142</v>
      </c>
      <c r="D183" s="4" t="s">
        <v>143</v>
      </c>
      <c r="E183" s="4" t="s">
        <v>144</v>
      </c>
      <c r="F183" s="4" t="s">
        <v>145</v>
      </c>
    </row>
    <row r="185" spans="1:7" ht="264" customHeight="1">
      <c r="A185" s="2">
        <v>62</v>
      </c>
      <c r="B185" s="3" t="s">
        <v>146</v>
      </c>
      <c r="C185">
        <f>IMAGE("https://raw.githubusercontent.com/stautonico/tcg-livingdex/main/images/62/1.png", 2)</f>
        <v>0</v>
      </c>
      <c r="D185">
        <f>IMAGE("https://raw.githubusercontent.com/stautonico/tcg-livingdex/main/images/62/2.png", 2)</f>
        <v>0</v>
      </c>
      <c r="E185">
        <f>IMAGE("https://raw.githubusercontent.com/stautonico/tcg-livingdex/main/images/62/3.png", 2)</f>
        <v>0</v>
      </c>
      <c r="F185">
        <f>IMAGE("https://raw.githubusercontent.com/stautonico/tcg-livingdex/main/images/62/4.png", 2)</f>
        <v>0</v>
      </c>
      <c r="G185" t="s">
        <v>9</v>
      </c>
    </row>
    <row r="186" spans="1:7">
      <c r="C186" s="4" t="s">
        <v>147</v>
      </c>
      <c r="D186" s="4" t="s">
        <v>148</v>
      </c>
      <c r="E186" s="4" t="s">
        <v>149</v>
      </c>
      <c r="F186" s="4" t="s">
        <v>150</v>
      </c>
    </row>
    <row r="188" spans="1:7" ht="264" customHeight="1">
      <c r="A188" s="2">
        <v>63</v>
      </c>
      <c r="B188" s="3" t="s">
        <v>151</v>
      </c>
      <c r="C188">
        <f>IMAGE("https://raw.githubusercontent.com/stautonico/tcg-livingdex/main/images/63/1.png", 2)</f>
        <v>0</v>
      </c>
      <c r="D188">
        <f>IMAGE("https://raw.githubusercontent.com/stautonico/tcg-livingdex/main/images/63/2.png", 2)</f>
        <v>0</v>
      </c>
      <c r="E188">
        <f>IMAGE("https://raw.githubusercontent.com/stautonico/tcg-livingdex/main/images/63/3.png", 2)</f>
        <v>0</v>
      </c>
      <c r="F188">
        <f>IMAGE("https://raw.githubusercontent.com/stautonico/tcg-livingdex/main/images/63/4.png", 2)</f>
        <v>0</v>
      </c>
      <c r="G188" t="s">
        <v>9</v>
      </c>
    </row>
    <row r="189" spans="1:7">
      <c r="C189" s="4" t="s">
        <v>152</v>
      </c>
      <c r="D189" s="4" t="s">
        <v>153</v>
      </c>
      <c r="E189" s="4" t="s">
        <v>154</v>
      </c>
      <c r="F189" s="4" t="s">
        <v>155</v>
      </c>
    </row>
    <row r="191" spans="1:7" ht="264" customHeight="1">
      <c r="A191" s="2">
        <v>64</v>
      </c>
      <c r="B191" s="3" t="s">
        <v>156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8</v>
      </c>
    </row>
    <row r="194" spans="1:7" ht="264" customHeight="1">
      <c r="A194" s="2">
        <v>65</v>
      </c>
      <c r="B194" s="3" t="s">
        <v>157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8</v>
      </c>
    </row>
    <row r="197" spans="1:7" ht="264" customHeight="1">
      <c r="A197" s="2">
        <v>66</v>
      </c>
      <c r="B197" s="3" t="s">
        <v>158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8</v>
      </c>
    </row>
    <row r="200" spans="1:7" ht="264" customHeight="1">
      <c r="A200" s="2">
        <v>67</v>
      </c>
      <c r="B200" s="3" t="s">
        <v>159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8</v>
      </c>
    </row>
    <row r="203" spans="1:7" ht="264" customHeight="1">
      <c r="A203" s="2">
        <v>68</v>
      </c>
      <c r="B203" s="3" t="s">
        <v>160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8</v>
      </c>
    </row>
    <row r="206" spans="1:7" ht="264" customHeight="1">
      <c r="A206" s="2">
        <v>69</v>
      </c>
      <c r="B206" s="3" t="s">
        <v>161</v>
      </c>
      <c r="C206">
        <f>IMAGE("https://raw.githubusercontent.com/stautonico/tcg-livingdex/main/images/69/1.png", 2)</f>
        <v>0</v>
      </c>
      <c r="D206">
        <f>IMAGE("https://raw.githubusercontent.com/stautonico/tcg-livingdex/main/images/69/2.png", 2)</f>
        <v>0</v>
      </c>
      <c r="E206">
        <f>IMAGE("https://raw.githubusercontent.com/stautonico/tcg-livingdex/main/images/69/3.png", 2)</f>
        <v>0</v>
      </c>
      <c r="F206">
        <f>IMAGE("https://raw.githubusercontent.com/stautonico/tcg-livingdex/main/images/69/4.png", 2)</f>
        <v>0</v>
      </c>
      <c r="G206" t="s">
        <v>9</v>
      </c>
    </row>
    <row r="207" spans="1:7">
      <c r="C207" s="4" t="s">
        <v>162</v>
      </c>
      <c r="D207" s="4" t="s">
        <v>163</v>
      </c>
      <c r="E207" s="4" t="s">
        <v>164</v>
      </c>
      <c r="F207" s="4" t="s">
        <v>165</v>
      </c>
    </row>
    <row r="209" spans="1:7" ht="264" customHeight="1">
      <c r="A209" s="2">
        <v>70</v>
      </c>
      <c r="B209" s="3" t="s">
        <v>166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8</v>
      </c>
    </row>
    <row r="212" spans="1:7" ht="264" customHeight="1">
      <c r="A212" s="2">
        <v>71</v>
      </c>
      <c r="B212" s="3" t="s">
        <v>167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8</v>
      </c>
    </row>
    <row r="215" spans="1:7" ht="264" customHeight="1">
      <c r="A215" s="2">
        <v>72</v>
      </c>
      <c r="B215" s="3" t="s">
        <v>168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8</v>
      </c>
    </row>
    <row r="218" spans="1:7" ht="264" customHeight="1">
      <c r="A218" s="2">
        <v>73</v>
      </c>
      <c r="B218" s="3" t="s">
        <v>169</v>
      </c>
      <c r="C218">
        <f>IMAGE("https://raw.githubusercontent.com/stautonico/tcg-livingdex/main/images/73/1.png", 2)</f>
        <v>0</v>
      </c>
      <c r="D218">
        <f>IMAGE("https://raw.githubusercontent.com/stautonico/tcg-livingdex/main/images/73/2.png", 2)</f>
        <v>0</v>
      </c>
      <c r="E218">
        <f>IMAGE("https://raw.githubusercontent.com/stautonico/tcg-livingdex/main/images/73/3.png", 2)</f>
        <v>0</v>
      </c>
      <c r="F218">
        <f>IMAGE("https://raw.githubusercontent.com/stautonico/tcg-livingdex/main/images/73/4.png", 2)</f>
        <v>0</v>
      </c>
      <c r="G218" t="s">
        <v>9</v>
      </c>
    </row>
    <row r="219" spans="1:7">
      <c r="C219" s="4" t="s">
        <v>170</v>
      </c>
      <c r="D219" s="4" t="s">
        <v>171</v>
      </c>
      <c r="E219" s="4" t="s">
        <v>172</v>
      </c>
      <c r="F219" s="4" t="s">
        <v>173</v>
      </c>
    </row>
    <row r="221" spans="1:7" ht="264" customHeight="1">
      <c r="A221" s="2">
        <v>74</v>
      </c>
      <c r="B221" s="3" t="s">
        <v>174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8</v>
      </c>
    </row>
    <row r="224" spans="1:7" ht="264" customHeight="1">
      <c r="A224" s="2">
        <v>75</v>
      </c>
      <c r="B224" s="3" t="s">
        <v>175</v>
      </c>
      <c r="C224">
        <f>IMAGE("https://raw.githubusercontent.com/stautonico/tcg-livingdex/main/images/75/1.png", 2)</f>
        <v>0</v>
      </c>
      <c r="D224">
        <f>IMAGE("https://raw.githubusercontent.com/stautonico/tcg-livingdex/main/images/75/2.png", 2)</f>
        <v>0</v>
      </c>
      <c r="E224">
        <f>IMAGE("https://raw.githubusercontent.com/stautonico/tcg-livingdex/main/images/75/3.png", 2)</f>
        <v>0</v>
      </c>
      <c r="F224">
        <f>IMAGE("https://raw.githubusercontent.com/stautonico/tcg-livingdex/main/images/75/4.png", 2)</f>
        <v>0</v>
      </c>
      <c r="G224" t="s">
        <v>9</v>
      </c>
    </row>
    <row r="225" spans="1:7">
      <c r="C225" s="4" t="s">
        <v>176</v>
      </c>
      <c r="D225" s="4" t="s">
        <v>177</v>
      </c>
      <c r="E225" s="4" t="s">
        <v>178</v>
      </c>
      <c r="F225" s="4" t="s">
        <v>179</v>
      </c>
    </row>
    <row r="227" spans="1:7" ht="264" customHeight="1">
      <c r="A227" s="2">
        <v>76</v>
      </c>
      <c r="B227" s="3" t="s">
        <v>180</v>
      </c>
      <c r="C227">
        <f>IMAGE("https://raw.githubusercontent.com/stautonico/tcg-livingdex/main/images/76/1.png", 2)</f>
        <v>0</v>
      </c>
      <c r="D227">
        <f>IMAGE("https://raw.githubusercontent.com/stautonico/tcg-livingdex/main/images/76/2.png", 2)</f>
        <v>0</v>
      </c>
      <c r="E227">
        <f>IMAGE("https://raw.githubusercontent.com/stautonico/tcg-livingdex/main/images/76/3.png", 2)</f>
        <v>0</v>
      </c>
      <c r="F227">
        <f>IMAGE("https://raw.githubusercontent.com/stautonico/tcg-livingdex/main/images/76/4.png", 2)</f>
        <v>0</v>
      </c>
      <c r="G227" t="s">
        <v>9</v>
      </c>
    </row>
    <row r="228" spans="1:7">
      <c r="C228" s="4" t="s">
        <v>181</v>
      </c>
      <c r="D228" s="4" t="s">
        <v>182</v>
      </c>
      <c r="E228" s="4" t="s">
        <v>183</v>
      </c>
      <c r="F228" s="4" t="s">
        <v>184</v>
      </c>
    </row>
    <row r="230" spans="1:7" ht="264" customHeight="1">
      <c r="A230" s="2">
        <v>77</v>
      </c>
      <c r="B230" s="3" t="s">
        <v>185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8</v>
      </c>
    </row>
    <row r="233" spans="1:7" ht="264" customHeight="1">
      <c r="A233" s="2">
        <v>78</v>
      </c>
      <c r="B233" s="3" t="s">
        <v>186</v>
      </c>
      <c r="C233">
        <f>IMAGE("https://raw.githubusercontent.com/stautonico/tcg-livingdex/main/images/78/1.png", 2)</f>
        <v>0</v>
      </c>
      <c r="D233">
        <f>IMAGE("https://raw.githubusercontent.com/stautonico/tcg-livingdex/main/images/78/2.png", 2)</f>
        <v>0</v>
      </c>
      <c r="E233">
        <f>IMAGE("https://raw.githubusercontent.com/stautonico/tcg-livingdex/main/images/78/3.png", 2)</f>
        <v>0</v>
      </c>
      <c r="F233">
        <f>IMAGE("https://raw.githubusercontent.com/stautonico/tcg-livingdex/main/images/78/4.png", 2)</f>
        <v>0</v>
      </c>
      <c r="G233" t="s">
        <v>9</v>
      </c>
    </row>
    <row r="234" spans="1:7">
      <c r="C234" s="4" t="s">
        <v>187</v>
      </c>
      <c r="D234" s="4" t="s">
        <v>188</v>
      </c>
      <c r="E234" s="4" t="s">
        <v>189</v>
      </c>
      <c r="F234" s="4" t="s">
        <v>190</v>
      </c>
    </row>
    <row r="236" spans="1:7" ht="264" customHeight="1">
      <c r="A236" s="2">
        <v>79</v>
      </c>
      <c r="B236" s="3" t="s">
        <v>191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8</v>
      </c>
    </row>
    <row r="239" spans="1:7" ht="264" customHeight="1">
      <c r="A239" s="2">
        <v>80</v>
      </c>
      <c r="B239" s="3" t="s">
        <v>192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8</v>
      </c>
    </row>
    <row r="242" spans="1:7" ht="264" customHeight="1">
      <c r="A242" s="2">
        <v>81</v>
      </c>
      <c r="B242" s="3" t="s">
        <v>193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8</v>
      </c>
    </row>
    <row r="245" spans="1:7" ht="264" customHeight="1">
      <c r="A245" s="2">
        <v>82</v>
      </c>
      <c r="B245" s="3" t="s">
        <v>194</v>
      </c>
      <c r="C245">
        <f>IMAGE("https://raw.githubusercontent.com/stautonico/tcg-livingdex/main/images/82/1.png", 2)</f>
        <v>0</v>
      </c>
      <c r="D245">
        <f>IMAGE("https://raw.githubusercontent.com/stautonico/tcg-livingdex/main/images/82/2.png", 2)</f>
        <v>0</v>
      </c>
      <c r="E245">
        <f>IMAGE("https://raw.githubusercontent.com/stautonico/tcg-livingdex/main/images/82/3.png", 2)</f>
        <v>0</v>
      </c>
      <c r="F245">
        <f>IMAGE("https://raw.githubusercontent.com/stautonico/tcg-livingdex/main/images/82/4.png", 2)</f>
        <v>0</v>
      </c>
      <c r="G245" t="s">
        <v>9</v>
      </c>
    </row>
    <row r="246" spans="1:7">
      <c r="C246" s="4" t="s">
        <v>195</v>
      </c>
      <c r="D246" s="4" t="s">
        <v>196</v>
      </c>
      <c r="E246" s="4" t="s">
        <v>197</v>
      </c>
      <c r="F246" s="4" t="s">
        <v>198</v>
      </c>
    </row>
    <row r="248" spans="1:7" ht="264" customHeight="1">
      <c r="A248" s="2">
        <v>83</v>
      </c>
      <c r="B248" s="3" t="s">
        <v>199</v>
      </c>
      <c r="C248">
        <f>IMAGE("https://raw.githubusercontent.com/stautonico/tcg-livingdex/main/images/83/1.png", 2)</f>
        <v>0</v>
      </c>
      <c r="D248">
        <f>IMAGE("https://raw.githubusercontent.com/stautonico/tcg-livingdex/main/images/83/2.png", 2)</f>
        <v>0</v>
      </c>
      <c r="E248">
        <f>IMAGE("https://raw.githubusercontent.com/stautonico/tcg-livingdex/main/images/83/3.png", 2)</f>
        <v>0</v>
      </c>
      <c r="F248">
        <f>IMAGE("https://raw.githubusercontent.com/stautonico/tcg-livingdex/main/images/83/4.png", 2)</f>
        <v>0</v>
      </c>
      <c r="G248" t="s">
        <v>9</v>
      </c>
    </row>
    <row r="249" spans="1:7">
      <c r="C249" s="4" t="s">
        <v>200</v>
      </c>
      <c r="D249" s="4" t="s">
        <v>201</v>
      </c>
      <c r="E249" s="4" t="s">
        <v>202</v>
      </c>
      <c r="F249" s="4" t="s">
        <v>203</v>
      </c>
    </row>
    <row r="251" spans="1:7" ht="264" customHeight="1">
      <c r="A251" s="2">
        <v>84</v>
      </c>
      <c r="B251" s="3" t="s">
        <v>204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8</v>
      </c>
    </row>
    <row r="254" spans="1:7" ht="264" customHeight="1">
      <c r="A254" s="2">
        <v>85</v>
      </c>
      <c r="B254" s="3" t="s">
        <v>205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8</v>
      </c>
    </row>
    <row r="257" spans="1:7" ht="264" customHeight="1">
      <c r="A257" s="2">
        <v>86</v>
      </c>
      <c r="B257" s="3" t="s">
        <v>206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8</v>
      </c>
    </row>
    <row r="260" spans="1:7" ht="264" customHeight="1">
      <c r="A260" s="2">
        <v>87</v>
      </c>
      <c r="B260" s="3" t="s">
        <v>207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8</v>
      </c>
    </row>
    <row r="263" spans="1:7" ht="264" customHeight="1">
      <c r="A263" s="2">
        <v>88</v>
      </c>
      <c r="B263" s="3" t="s">
        <v>208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8</v>
      </c>
    </row>
    <row r="266" spans="1:7" ht="264" customHeight="1">
      <c r="A266" s="2">
        <v>89</v>
      </c>
      <c r="B266" s="3" t="s">
        <v>209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8</v>
      </c>
    </row>
    <row r="269" spans="1:7" ht="264" customHeight="1">
      <c r="A269" s="2">
        <v>90</v>
      </c>
      <c r="B269" s="3" t="s">
        <v>210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8</v>
      </c>
    </row>
    <row r="272" spans="1:7" ht="264" customHeight="1">
      <c r="A272" s="2">
        <v>91</v>
      </c>
      <c r="B272" s="3" t="s">
        <v>211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8</v>
      </c>
    </row>
    <row r="275" spans="1:7" ht="264" customHeight="1">
      <c r="A275" s="2">
        <v>92</v>
      </c>
      <c r="B275" s="3" t="s">
        <v>212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8</v>
      </c>
    </row>
    <row r="278" spans="1:7" ht="264" customHeight="1">
      <c r="A278" s="2">
        <v>93</v>
      </c>
      <c r="B278" s="3" t="s">
        <v>213</v>
      </c>
      <c r="C278">
        <f>IMAGE("https://raw.githubusercontent.com/stautonico/tcg-livingdex/main/images/93/1.png", 2)</f>
        <v>0</v>
      </c>
      <c r="D278">
        <f>IMAGE("https://raw.githubusercontent.com/stautonico/tcg-livingdex/main/images/93/2.png", 2)</f>
        <v>0</v>
      </c>
      <c r="E278">
        <f>IMAGE("https://raw.githubusercontent.com/stautonico/tcg-livingdex/main/images/93/3.png", 2)</f>
        <v>0</v>
      </c>
      <c r="F278">
        <f>IMAGE("https://raw.githubusercontent.com/stautonico/tcg-livingdex/main/images/93/4.png", 2)</f>
        <v>0</v>
      </c>
      <c r="G278" t="s">
        <v>9</v>
      </c>
    </row>
    <row r="279" spans="1:7">
      <c r="C279" s="4" t="s">
        <v>214</v>
      </c>
      <c r="D279" s="4" t="s">
        <v>215</v>
      </c>
      <c r="E279" s="4" t="s">
        <v>216</v>
      </c>
      <c r="F279" s="4" t="s">
        <v>217</v>
      </c>
    </row>
    <row r="281" spans="1:7" ht="264" customHeight="1">
      <c r="A281" s="2">
        <v>94</v>
      </c>
      <c r="B281" s="3" t="s">
        <v>218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8</v>
      </c>
    </row>
    <row r="284" spans="1:7" ht="264" customHeight="1">
      <c r="A284" s="2">
        <v>95</v>
      </c>
      <c r="B284" s="3" t="s">
        <v>219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8</v>
      </c>
    </row>
    <row r="287" spans="1:7" ht="264" customHeight="1">
      <c r="A287" s="2">
        <v>96</v>
      </c>
      <c r="B287" s="3" t="s">
        <v>220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8</v>
      </c>
    </row>
    <row r="290" spans="1:7" ht="264" customHeight="1">
      <c r="A290" s="2">
        <v>97</v>
      </c>
      <c r="B290" s="3" t="s">
        <v>221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8</v>
      </c>
    </row>
    <row r="293" spans="1:7" ht="264" customHeight="1">
      <c r="A293" s="2">
        <v>98</v>
      </c>
      <c r="B293" s="3" t="s">
        <v>222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8</v>
      </c>
    </row>
    <row r="296" spans="1:7" ht="264" customHeight="1">
      <c r="A296" s="2">
        <v>99</v>
      </c>
      <c r="B296" s="3" t="s">
        <v>223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8</v>
      </c>
    </row>
    <row r="299" spans="1:7" ht="264" customHeight="1">
      <c r="A299" s="2">
        <v>100</v>
      </c>
      <c r="B299" s="3" t="s">
        <v>224</v>
      </c>
      <c r="C299">
        <f>IMAGE("https://raw.githubusercontent.com/stautonico/tcg-livingdex/main/images/100/1.png", 2)</f>
        <v>0</v>
      </c>
      <c r="D299">
        <f>IMAGE("https://raw.githubusercontent.com/stautonico/tcg-livingdex/main/images/100/2.png", 2)</f>
        <v>0</v>
      </c>
      <c r="E299">
        <f>IMAGE("https://raw.githubusercontent.com/stautonico/tcg-livingdex/main/images/100/3.png", 2)</f>
        <v>0</v>
      </c>
      <c r="F299">
        <f>IMAGE("https://raw.githubusercontent.com/stautonico/tcg-livingdex/main/images/100/4.png", 2)</f>
        <v>0</v>
      </c>
      <c r="G299" t="s">
        <v>9</v>
      </c>
    </row>
    <row r="300" spans="1:7">
      <c r="C300" s="4" t="s">
        <v>225</v>
      </c>
      <c r="D300" s="4" t="s">
        <v>226</v>
      </c>
      <c r="E300" s="4" t="s">
        <v>227</v>
      </c>
      <c r="F300" s="4" t="s">
        <v>228</v>
      </c>
    </row>
    <row r="302" spans="1:7" ht="264" customHeight="1">
      <c r="A302" s="2">
        <v>101</v>
      </c>
      <c r="B302" s="3" t="s">
        <v>229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8</v>
      </c>
    </row>
    <row r="305" spans="1:7" ht="264" customHeight="1">
      <c r="A305" s="2">
        <v>102</v>
      </c>
      <c r="B305" s="3" t="s">
        <v>230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8</v>
      </c>
    </row>
    <row r="308" spans="1:7" ht="264" customHeight="1">
      <c r="A308" s="2">
        <v>103</v>
      </c>
      <c r="B308" s="3" t="s">
        <v>231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8</v>
      </c>
    </row>
    <row r="311" spans="1:7" ht="264" customHeight="1">
      <c r="A311" s="2">
        <v>104</v>
      </c>
      <c r="B311" s="3" t="s">
        <v>232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8</v>
      </c>
    </row>
    <row r="314" spans="1:7" ht="264" customHeight="1">
      <c r="A314" s="2">
        <v>105</v>
      </c>
      <c r="B314" s="3" t="s">
        <v>233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8</v>
      </c>
    </row>
    <row r="317" spans="1:7" ht="264" customHeight="1">
      <c r="A317" s="2">
        <v>106</v>
      </c>
      <c r="B317" s="3" t="s">
        <v>234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8</v>
      </c>
    </row>
    <row r="320" spans="1:7" ht="264" customHeight="1">
      <c r="A320" s="2">
        <v>107</v>
      </c>
      <c r="B320" s="3" t="s">
        <v>235</v>
      </c>
      <c r="C320">
        <f>IMAGE("https://raw.githubusercontent.com/stautonico/tcg-livingdex/main/images/107/1.png", 2)</f>
        <v>0</v>
      </c>
      <c r="D320">
        <f>IMAGE("https://raw.githubusercontent.com/stautonico/tcg-livingdex/main/images/107/2.png", 2)</f>
        <v>0</v>
      </c>
      <c r="E320">
        <f>IMAGE("https://raw.githubusercontent.com/stautonico/tcg-livingdex/main/images/107/3.png", 2)</f>
        <v>0</v>
      </c>
      <c r="F320">
        <f>IMAGE("https://raw.githubusercontent.com/stautonico/tcg-livingdex/main/images/107/4.png", 2)</f>
        <v>0</v>
      </c>
      <c r="G320" t="s">
        <v>9</v>
      </c>
    </row>
    <row r="321" spans="1:7">
      <c r="C321" s="4" t="s">
        <v>236</v>
      </c>
      <c r="D321" s="4" t="s">
        <v>237</v>
      </c>
      <c r="E321" s="4" t="s">
        <v>238</v>
      </c>
      <c r="F321" s="4" t="s">
        <v>239</v>
      </c>
    </row>
    <row r="323" spans="1:7" ht="264" customHeight="1">
      <c r="A323" s="2">
        <v>108</v>
      </c>
      <c r="B323" s="3" t="s">
        <v>240</v>
      </c>
      <c r="C323">
        <f>IMAGE("https://raw.githubusercontent.com/stautonico/tcg-livingdex/main/images/108/1.png", 2)</f>
        <v>0</v>
      </c>
      <c r="D323">
        <f>IMAGE("https://raw.githubusercontent.com/stautonico/tcg-livingdex/main/images/108/2.png", 2)</f>
        <v>0</v>
      </c>
      <c r="G323" t="s">
        <v>9</v>
      </c>
    </row>
    <row r="324" spans="1:7">
      <c r="C324" s="4" t="s">
        <v>241</v>
      </c>
      <c r="D324" s="4" t="s">
        <v>242</v>
      </c>
    </row>
    <row r="326" spans="1:7" ht="264" customHeight="1">
      <c r="A326" s="2">
        <v>109</v>
      </c>
      <c r="B326" s="3" t="s">
        <v>243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8</v>
      </c>
    </row>
    <row r="329" spans="1:7" ht="264" customHeight="1">
      <c r="A329" s="2">
        <v>110</v>
      </c>
      <c r="B329" s="3" t="s">
        <v>244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8</v>
      </c>
    </row>
    <row r="332" spans="1:7" ht="264" customHeight="1">
      <c r="A332" s="2">
        <v>111</v>
      </c>
      <c r="B332" s="3" t="s">
        <v>245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8</v>
      </c>
    </row>
    <row r="335" spans="1:7" ht="264" customHeight="1">
      <c r="A335" s="2">
        <v>112</v>
      </c>
      <c r="B335" s="3" t="s">
        <v>246</v>
      </c>
      <c r="C335">
        <f>IMAGE("https://raw.githubusercontent.com/stautonico/tcg-livingdex/main/images/112/1.png", 2)</f>
        <v>0</v>
      </c>
      <c r="D335">
        <f>IMAGE("https://raw.githubusercontent.com/stautonico/tcg-livingdex/main/images/112/2.png", 2)</f>
        <v>0</v>
      </c>
      <c r="E335">
        <f>IMAGE("https://raw.githubusercontent.com/stautonico/tcg-livingdex/main/images/112/3.png", 2)</f>
        <v>0</v>
      </c>
      <c r="F335">
        <f>IMAGE("https://raw.githubusercontent.com/stautonico/tcg-livingdex/main/images/112/4.png", 2)</f>
        <v>0</v>
      </c>
      <c r="G335" t="s">
        <v>9</v>
      </c>
    </row>
    <row r="336" spans="1:7">
      <c r="C336" s="4" t="s">
        <v>247</v>
      </c>
      <c r="D336" s="4" t="s">
        <v>248</v>
      </c>
      <c r="E336" s="4" t="s">
        <v>249</v>
      </c>
      <c r="F336" s="4" t="s">
        <v>250</v>
      </c>
    </row>
    <row r="338" spans="1:7" ht="264" customHeight="1">
      <c r="A338" s="2">
        <v>113</v>
      </c>
      <c r="B338" s="3" t="s">
        <v>251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8</v>
      </c>
    </row>
    <row r="341" spans="1:7" ht="264" customHeight="1">
      <c r="A341" s="2">
        <v>114</v>
      </c>
      <c r="B341" s="3" t="s">
        <v>252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8</v>
      </c>
    </row>
    <row r="344" spans="1:7" ht="264" customHeight="1">
      <c r="A344" s="2">
        <v>115</v>
      </c>
      <c r="B344" s="3" t="s">
        <v>253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8</v>
      </c>
    </row>
    <row r="347" spans="1:7" ht="264" customHeight="1">
      <c r="A347" s="2">
        <v>116</v>
      </c>
      <c r="B347" s="3" t="s">
        <v>254</v>
      </c>
      <c r="C347">
        <f>IMAGE("https://raw.githubusercontent.com/stautonico/tcg-livingdex/main/images/116/1.png", 2)</f>
        <v>0</v>
      </c>
      <c r="D347">
        <f>IMAGE("https://raw.githubusercontent.com/stautonico/tcg-livingdex/main/images/116/2.png", 2)</f>
        <v>0</v>
      </c>
      <c r="E347">
        <f>IMAGE("https://raw.githubusercontent.com/stautonico/tcg-livingdex/main/images/116/3.png", 2)</f>
        <v>0</v>
      </c>
      <c r="F347">
        <f>IMAGE("https://raw.githubusercontent.com/stautonico/tcg-livingdex/main/images/116/4.png", 2)</f>
        <v>0</v>
      </c>
      <c r="G347" t="s">
        <v>9</v>
      </c>
    </row>
    <row r="348" spans="1:7">
      <c r="C348" s="4" t="s">
        <v>255</v>
      </c>
      <c r="D348" s="4" t="s">
        <v>256</v>
      </c>
      <c r="E348" s="4" t="s">
        <v>257</v>
      </c>
      <c r="F348" s="4" t="s">
        <v>258</v>
      </c>
    </row>
    <row r="350" spans="1:7" ht="264" customHeight="1">
      <c r="A350" s="2">
        <v>117</v>
      </c>
      <c r="B350" s="3" t="s">
        <v>259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8</v>
      </c>
    </row>
    <row r="353" spans="1:7" ht="264" customHeight="1">
      <c r="A353" s="2">
        <v>118</v>
      </c>
      <c r="B353" s="3" t="s">
        <v>260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8</v>
      </c>
    </row>
    <row r="356" spans="1:7" ht="264" customHeight="1">
      <c r="A356" s="2">
        <v>119</v>
      </c>
      <c r="B356" s="3" t="s">
        <v>261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8</v>
      </c>
    </row>
    <row r="359" spans="1:7" ht="264" customHeight="1">
      <c r="A359" s="2">
        <v>120</v>
      </c>
      <c r="B359" s="3" t="s">
        <v>262</v>
      </c>
      <c r="C359">
        <f>IMAGE("https://raw.githubusercontent.com/stautonico/tcg-livingdex/main/images/120/1.png", 2)</f>
        <v>0</v>
      </c>
      <c r="D359">
        <f>IMAGE("https://raw.githubusercontent.com/stautonico/tcg-livingdex/main/images/120/2.png", 2)</f>
        <v>0</v>
      </c>
      <c r="E359">
        <f>IMAGE("https://raw.githubusercontent.com/stautonico/tcg-livingdex/main/images/120/3.png", 2)</f>
        <v>0</v>
      </c>
      <c r="F359">
        <f>IMAGE("https://raw.githubusercontent.com/stautonico/tcg-livingdex/main/images/120/4.png", 2)</f>
        <v>0</v>
      </c>
      <c r="G359" t="s">
        <v>9</v>
      </c>
    </row>
    <row r="360" spans="1:7">
      <c r="C360" s="4" t="s">
        <v>263</v>
      </c>
      <c r="D360" s="4" t="s">
        <v>264</v>
      </c>
      <c r="E360" s="4" t="s">
        <v>265</v>
      </c>
      <c r="F360" s="4" t="s">
        <v>266</v>
      </c>
    </row>
    <row r="362" spans="1:7" ht="264" customHeight="1">
      <c r="A362" s="2">
        <v>121</v>
      </c>
      <c r="B362" s="3" t="s">
        <v>267</v>
      </c>
      <c r="C362">
        <f>IMAGE("https://raw.githubusercontent.com/stautonico/tcg-livingdex/main/images/121/1.png", 2)</f>
        <v>0</v>
      </c>
      <c r="D362">
        <f>IMAGE("https://raw.githubusercontent.com/stautonico/tcg-livingdex/main/images/121/2.png", 2)</f>
        <v>0</v>
      </c>
      <c r="E362">
        <f>IMAGE("https://raw.githubusercontent.com/stautonico/tcg-livingdex/main/images/121/3.png", 2)</f>
        <v>0</v>
      </c>
      <c r="F362">
        <f>IMAGE("https://raw.githubusercontent.com/stautonico/tcg-livingdex/main/images/121/4.png", 2)</f>
        <v>0</v>
      </c>
      <c r="G362" t="s">
        <v>9</v>
      </c>
    </row>
    <row r="363" spans="1:7">
      <c r="C363" s="4" t="s">
        <v>268</v>
      </c>
      <c r="D363" s="4" t="s">
        <v>269</v>
      </c>
      <c r="E363" s="4" t="s">
        <v>270</v>
      </c>
      <c r="F363" s="4" t="s">
        <v>271</v>
      </c>
    </row>
    <row r="365" spans="1:7" ht="264" customHeight="1">
      <c r="A365" s="2">
        <v>122</v>
      </c>
      <c r="B365" s="3" t="s">
        <v>272</v>
      </c>
      <c r="C365">
        <f>IMAGE("https://raw.githubusercontent.com/stautonico/tcg-livingdex/main/images/122/1.png", 2)</f>
        <v>0</v>
      </c>
      <c r="D365">
        <f>IMAGE("https://raw.githubusercontent.com/stautonico/tcg-livingdex/main/images/122/2.png", 2)</f>
        <v>0</v>
      </c>
      <c r="E365">
        <f>IMAGE("https://raw.githubusercontent.com/stautonico/tcg-livingdex/main/images/122/3.png", 2)</f>
        <v>0</v>
      </c>
      <c r="F365">
        <f>IMAGE("https://raw.githubusercontent.com/stautonico/tcg-livingdex/main/images/122/4.png", 2)</f>
        <v>0</v>
      </c>
      <c r="G365" t="s">
        <v>9</v>
      </c>
    </row>
    <row r="366" spans="1:7">
      <c r="C366" s="4" t="s">
        <v>273</v>
      </c>
      <c r="D366" s="4" t="s">
        <v>274</v>
      </c>
      <c r="E366" s="4" t="s">
        <v>275</v>
      </c>
      <c r="F366" s="4" t="s">
        <v>276</v>
      </c>
    </row>
    <row r="368" spans="1:7" ht="264" customHeight="1">
      <c r="A368" s="2">
        <v>123</v>
      </c>
      <c r="B368" s="3" t="s">
        <v>277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8</v>
      </c>
    </row>
    <row r="371" spans="1:7" ht="264" customHeight="1">
      <c r="A371" s="2">
        <v>124</v>
      </c>
      <c r="B371" s="3" t="s">
        <v>278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8</v>
      </c>
    </row>
    <row r="374" spans="1:7" ht="264" customHeight="1">
      <c r="A374" s="2">
        <v>125</v>
      </c>
      <c r="B374" s="3" t="s">
        <v>279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8</v>
      </c>
    </row>
    <row r="377" spans="1:7" ht="264" customHeight="1">
      <c r="A377" s="2">
        <v>126</v>
      </c>
      <c r="B377" s="3" t="s">
        <v>280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8</v>
      </c>
    </row>
    <row r="380" spans="1:7" ht="264" customHeight="1">
      <c r="A380" s="2">
        <v>127</v>
      </c>
      <c r="B380" s="3" t="s">
        <v>281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282</v>
      </c>
    </row>
    <row r="383" spans="1:7" ht="264" customHeight="1">
      <c r="A383" s="2">
        <v>128</v>
      </c>
      <c r="B383" s="3" t="s">
        <v>283</v>
      </c>
      <c r="C383">
        <f>IMAGE("https://raw.githubusercontent.com/stautonico/tcg-livingdex/main/images/128/1.png", 2)</f>
        <v>0</v>
      </c>
      <c r="D383">
        <f>IMAGE("https://raw.githubusercontent.com/stautonico/tcg-livingdex/main/images/128/2.png", 2)</f>
        <v>0</v>
      </c>
      <c r="E383">
        <f>IMAGE("https://raw.githubusercontent.com/stautonico/tcg-livingdex/main/images/128/3.png", 2)</f>
        <v>0</v>
      </c>
      <c r="F383">
        <f>IMAGE("https://raw.githubusercontent.com/stautonico/tcg-livingdex/main/images/128/4.png", 2)</f>
        <v>0</v>
      </c>
      <c r="G383" t="s">
        <v>9</v>
      </c>
    </row>
    <row r="384" spans="1:7">
      <c r="C384" s="4" t="s">
        <v>284</v>
      </c>
      <c r="D384" s="4" t="s">
        <v>285</v>
      </c>
      <c r="E384" s="4" t="s">
        <v>286</v>
      </c>
      <c r="F384" s="4" t="s">
        <v>287</v>
      </c>
    </row>
    <row r="386" spans="1:7" ht="264" customHeight="1">
      <c r="A386" s="2">
        <v>129</v>
      </c>
      <c r="B386" s="3" t="s">
        <v>288</v>
      </c>
      <c r="C386">
        <f>IMAGE("https://raw.githubusercontent.com/stautonico/tcg-livingdex/main/images/129/1.png", 2)</f>
        <v>0</v>
      </c>
      <c r="D386">
        <f>IMAGE("https://raw.githubusercontent.com/stautonico/tcg-livingdex/main/images/129/2.png", 2)</f>
        <v>0</v>
      </c>
      <c r="E386">
        <f>IMAGE("https://raw.githubusercontent.com/stautonico/tcg-livingdex/main/images/129/3.png", 2)</f>
        <v>0</v>
      </c>
      <c r="F386">
        <f>IMAGE("https://raw.githubusercontent.com/stautonico/tcg-livingdex/main/images/129/4.png", 2)</f>
        <v>0</v>
      </c>
      <c r="G386" t="s">
        <v>9</v>
      </c>
    </row>
    <row r="387" spans="1:7">
      <c r="C387" s="4" t="s">
        <v>289</v>
      </c>
      <c r="D387" s="4" t="s">
        <v>290</v>
      </c>
      <c r="E387" s="4" t="s">
        <v>291</v>
      </c>
      <c r="F387" s="4" t="s">
        <v>292</v>
      </c>
    </row>
    <row r="389" spans="1:7" ht="264" customHeight="1">
      <c r="A389" s="2">
        <v>130</v>
      </c>
      <c r="B389" s="3" t="s">
        <v>293</v>
      </c>
      <c r="C389">
        <f>IMAGE("https://raw.githubusercontent.com/stautonico/tcg-livingdex/main/images/130/1.png", 2)</f>
        <v>0</v>
      </c>
      <c r="D389">
        <f>IMAGE("https://raw.githubusercontent.com/stautonico/tcg-livingdex/main/images/130/2.png", 2)</f>
        <v>0</v>
      </c>
      <c r="E389">
        <f>IMAGE("https://raw.githubusercontent.com/stautonico/tcg-livingdex/main/images/130/3.png", 2)</f>
        <v>0</v>
      </c>
      <c r="F389">
        <f>IMAGE("https://raw.githubusercontent.com/stautonico/tcg-livingdex/main/images/130/4.png", 2)</f>
        <v>0</v>
      </c>
      <c r="G389" t="s">
        <v>9</v>
      </c>
    </row>
    <row r="390" spans="1:7">
      <c r="C390" s="4" t="s">
        <v>294</v>
      </c>
      <c r="D390" s="4" t="s">
        <v>295</v>
      </c>
      <c r="E390" s="4" t="s">
        <v>296</v>
      </c>
      <c r="F390" s="4" t="s">
        <v>297</v>
      </c>
    </row>
    <row r="392" spans="1:7" ht="264" customHeight="1">
      <c r="A392" s="2">
        <v>131</v>
      </c>
      <c r="B392" s="3" t="s">
        <v>298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8</v>
      </c>
    </row>
    <row r="395" spans="1:7" ht="264" customHeight="1">
      <c r="A395" s="2">
        <v>132</v>
      </c>
      <c r="B395" s="3" t="s">
        <v>299</v>
      </c>
      <c r="C395">
        <f>IMAGE("https://raw.githubusercontent.com/stautonico/tcg-livingdex/main/images/132/1.png", 2)</f>
        <v>0</v>
      </c>
      <c r="D395">
        <f>IMAGE("https://raw.githubusercontent.com/stautonico/tcg-livingdex/main/images/132/2.png", 2)</f>
        <v>0</v>
      </c>
      <c r="E395">
        <f>IMAGE("https://raw.githubusercontent.com/stautonico/tcg-livingdex/main/images/132/3.png", 2)</f>
        <v>0</v>
      </c>
      <c r="F395">
        <f>IMAGE("https://raw.githubusercontent.com/stautonico/tcg-livingdex/main/images/132/4.png", 2)</f>
        <v>0</v>
      </c>
      <c r="G395" t="s">
        <v>9</v>
      </c>
    </row>
    <row r="396" spans="1:7">
      <c r="C396" s="4" t="s">
        <v>300</v>
      </c>
      <c r="D396" s="4" t="s">
        <v>301</v>
      </c>
      <c r="E396" s="4" t="s">
        <v>302</v>
      </c>
      <c r="F396" s="4" t="s">
        <v>303</v>
      </c>
    </row>
    <row r="398" spans="1:7" ht="264" customHeight="1">
      <c r="A398" s="2">
        <v>133</v>
      </c>
      <c r="B398" s="3" t="s">
        <v>304</v>
      </c>
      <c r="C398">
        <f>IMAGE("https://raw.githubusercontent.com/stautonico/tcg-livingdex/main/images/133/1.png", 2)</f>
        <v>0</v>
      </c>
      <c r="D398">
        <f>IMAGE("https://raw.githubusercontent.com/stautonico/tcg-livingdex/main/images/133/2.png", 2)</f>
        <v>0</v>
      </c>
      <c r="E398">
        <f>IMAGE("https://raw.githubusercontent.com/stautonico/tcg-livingdex/main/images/133/3.png", 2)</f>
        <v>0</v>
      </c>
      <c r="F398">
        <f>IMAGE("https://raw.githubusercontent.com/stautonico/tcg-livingdex/main/images/133/4.png", 2)</f>
        <v>0</v>
      </c>
      <c r="G398" t="s">
        <v>9</v>
      </c>
    </row>
    <row r="399" spans="1:7">
      <c r="C399" s="4" t="s">
        <v>305</v>
      </c>
      <c r="D399" s="4" t="s">
        <v>306</v>
      </c>
      <c r="E399" s="4" t="s">
        <v>307</v>
      </c>
      <c r="F399" s="4" t="s">
        <v>308</v>
      </c>
    </row>
    <row r="401" spans="1:7" ht="264" customHeight="1">
      <c r="A401" s="2">
        <v>134</v>
      </c>
      <c r="B401" s="3" t="s">
        <v>309</v>
      </c>
      <c r="C401">
        <f>IMAGE("https://raw.githubusercontent.com/stautonico/tcg-livingdex/main/images/134/1.png", 2)</f>
        <v>0</v>
      </c>
      <c r="D401">
        <f>IMAGE("https://raw.githubusercontent.com/stautonico/tcg-livingdex/main/images/134/2.png", 2)</f>
        <v>0</v>
      </c>
      <c r="E401">
        <f>IMAGE("https://raw.githubusercontent.com/stautonico/tcg-livingdex/main/images/134/3.png", 2)</f>
        <v>0</v>
      </c>
      <c r="F401">
        <f>IMAGE("https://raw.githubusercontent.com/stautonico/tcg-livingdex/main/images/134/4.png", 2)</f>
        <v>0</v>
      </c>
      <c r="G401" t="s">
        <v>9</v>
      </c>
    </row>
    <row r="402" spans="1:7">
      <c r="C402" s="4" t="s">
        <v>310</v>
      </c>
      <c r="D402" s="4" t="s">
        <v>311</v>
      </c>
      <c r="E402" s="4" t="s">
        <v>312</v>
      </c>
      <c r="F402" s="4" t="s">
        <v>313</v>
      </c>
    </row>
    <row r="404" spans="1:7" ht="264" customHeight="1">
      <c r="A404" s="2">
        <v>135</v>
      </c>
      <c r="B404" s="3" t="s">
        <v>314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8</v>
      </c>
    </row>
    <row r="407" spans="1:7" ht="264" customHeight="1">
      <c r="A407" s="2">
        <v>136</v>
      </c>
      <c r="B407" s="3" t="s">
        <v>315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8</v>
      </c>
    </row>
    <row r="410" spans="1:7" ht="264" customHeight="1">
      <c r="A410" s="2">
        <v>137</v>
      </c>
      <c r="B410" s="3" t="s">
        <v>316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8</v>
      </c>
    </row>
    <row r="413" spans="1:7" ht="264" customHeight="1">
      <c r="A413" s="2">
        <v>138</v>
      </c>
      <c r="B413" s="3" t="s">
        <v>317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8</v>
      </c>
    </row>
    <row r="416" spans="1:7" ht="264" customHeight="1">
      <c r="A416" s="2">
        <v>139</v>
      </c>
      <c r="B416" s="3" t="s">
        <v>318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8</v>
      </c>
    </row>
    <row r="419" spans="1:7" ht="264" customHeight="1">
      <c r="A419" s="2">
        <v>140</v>
      </c>
      <c r="B419" s="3" t="s">
        <v>319</v>
      </c>
      <c r="C419">
        <f>IMAGE("https://raw.githubusercontent.com/stautonico/tcg-livingdex/main/images/140/1.png", 2)</f>
        <v>0</v>
      </c>
      <c r="D419">
        <f>IMAGE("https://raw.githubusercontent.com/stautonico/tcg-livingdex/main/images/140/2.png", 2)</f>
        <v>0</v>
      </c>
      <c r="E419">
        <f>IMAGE("https://raw.githubusercontent.com/stautonico/tcg-livingdex/main/images/140/3.png", 2)</f>
        <v>0</v>
      </c>
      <c r="F419">
        <f>IMAGE("https://raw.githubusercontent.com/stautonico/tcg-livingdex/main/images/140/4.png", 2)</f>
        <v>0</v>
      </c>
      <c r="G419" t="s">
        <v>9</v>
      </c>
    </row>
    <row r="420" spans="1:7">
      <c r="C420" s="4" t="s">
        <v>320</v>
      </c>
      <c r="D420" s="4" t="s">
        <v>321</v>
      </c>
      <c r="E420" s="4" t="s">
        <v>322</v>
      </c>
      <c r="F420" s="4" t="s">
        <v>323</v>
      </c>
    </row>
    <row r="422" spans="1:7" ht="264" customHeight="1">
      <c r="A422" s="2">
        <v>141</v>
      </c>
      <c r="B422" s="3" t="s">
        <v>324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8</v>
      </c>
    </row>
    <row r="425" spans="1:7" ht="264" customHeight="1">
      <c r="A425" s="2">
        <v>142</v>
      </c>
      <c r="B425" s="3" t="s">
        <v>325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8</v>
      </c>
    </row>
    <row r="428" spans="1:7" ht="264" customHeight="1">
      <c r="A428" s="2">
        <v>143</v>
      </c>
      <c r="B428" s="3" t="s">
        <v>326</v>
      </c>
      <c r="C428">
        <f>IMAGE("https://raw.githubusercontent.com/stautonico/tcg-livingdex/main/images/143/1.png", 2)</f>
        <v>0</v>
      </c>
      <c r="D428">
        <f>IMAGE("https://raw.githubusercontent.com/stautonico/tcg-livingdex/main/images/143/2.png", 2)</f>
        <v>0</v>
      </c>
      <c r="E428">
        <f>IMAGE("https://raw.githubusercontent.com/stautonico/tcg-livingdex/main/images/143/3.png", 2)</f>
        <v>0</v>
      </c>
      <c r="G428" t="s">
        <v>9</v>
      </c>
    </row>
    <row r="429" spans="1:7">
      <c r="C429" s="4" t="s">
        <v>327</v>
      </c>
      <c r="D429" s="4" t="s">
        <v>328</v>
      </c>
      <c r="E429" s="4" t="s">
        <v>329</v>
      </c>
    </row>
    <row r="431" spans="1:7" ht="264" customHeight="1">
      <c r="A431" s="2">
        <v>144</v>
      </c>
      <c r="B431" s="3" t="s">
        <v>330</v>
      </c>
      <c r="C431">
        <f>IMAGE("https://raw.githubusercontent.com/stautonico/tcg-livingdex/main/images/144/1.png", 2)</f>
        <v>0</v>
      </c>
      <c r="D431">
        <f>IMAGE("https://raw.githubusercontent.com/stautonico/tcg-livingdex/main/images/144/2.png", 2)</f>
        <v>0</v>
      </c>
      <c r="E431">
        <f>IMAGE("https://raw.githubusercontent.com/stautonico/tcg-livingdex/main/images/144/3.png", 2)</f>
        <v>0</v>
      </c>
      <c r="F431">
        <f>IMAGE("https://raw.githubusercontent.com/stautonico/tcg-livingdex/main/images/144/4.png", 2)</f>
        <v>0</v>
      </c>
      <c r="G431" t="s">
        <v>9</v>
      </c>
    </row>
    <row r="432" spans="1:7">
      <c r="C432" s="4" t="s">
        <v>331</v>
      </c>
      <c r="D432" s="4" t="s">
        <v>332</v>
      </c>
      <c r="E432" s="4" t="s">
        <v>333</v>
      </c>
      <c r="F432" s="4" t="s">
        <v>334</v>
      </c>
    </row>
    <row r="434" spans="1:7" ht="264" customHeight="1">
      <c r="A434" s="2">
        <v>145</v>
      </c>
      <c r="B434" s="3" t="s">
        <v>335</v>
      </c>
      <c r="C434">
        <f>IMAGE("https://raw.githubusercontent.com/stautonico/tcg-livingdex/main/images/145/1.png", 2)</f>
        <v>0</v>
      </c>
      <c r="D434">
        <f>IMAGE("https://raw.githubusercontent.com/stautonico/tcg-livingdex/main/images/145/2.png", 2)</f>
        <v>0</v>
      </c>
      <c r="E434">
        <f>IMAGE("https://raw.githubusercontent.com/stautonico/tcg-livingdex/main/images/145/3.png", 2)</f>
        <v>0</v>
      </c>
      <c r="F434">
        <f>IMAGE("https://raw.githubusercontent.com/stautonico/tcg-livingdex/main/images/145/4.png", 2)</f>
        <v>0</v>
      </c>
      <c r="G434" t="s">
        <v>9</v>
      </c>
    </row>
    <row r="435" spans="1:7">
      <c r="C435" s="4" t="s">
        <v>336</v>
      </c>
      <c r="D435" s="4" t="s">
        <v>337</v>
      </c>
      <c r="E435" s="4" t="s">
        <v>338</v>
      </c>
      <c r="F435" s="4" t="s">
        <v>339</v>
      </c>
    </row>
    <row r="437" spans="1:7" ht="264" customHeight="1">
      <c r="A437" s="2">
        <v>146</v>
      </c>
      <c r="B437" s="3" t="s">
        <v>340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8</v>
      </c>
    </row>
    <row r="440" spans="1:7" ht="264" customHeight="1">
      <c r="A440" s="2">
        <v>147</v>
      </c>
      <c r="B440" s="3" t="s">
        <v>341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8</v>
      </c>
    </row>
    <row r="443" spans="1:7" ht="264" customHeight="1">
      <c r="A443" s="2">
        <v>148</v>
      </c>
      <c r="B443" s="3" t="s">
        <v>342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8</v>
      </c>
    </row>
    <row r="446" spans="1:7" ht="264" customHeight="1">
      <c r="A446" s="2">
        <v>149</v>
      </c>
      <c r="B446" s="3" t="s">
        <v>343</v>
      </c>
      <c r="C446">
        <f>IMAGE("https://raw.githubusercontent.com/stautonico/tcg-livingdex/main/images/149/1.png", 2)</f>
        <v>0</v>
      </c>
      <c r="D446">
        <f>IMAGE("https://raw.githubusercontent.com/stautonico/tcg-livingdex/main/images/149/2.png", 2)</f>
        <v>0</v>
      </c>
      <c r="E446">
        <f>IMAGE("https://raw.githubusercontent.com/stautonico/tcg-livingdex/main/images/149/3.png", 2)</f>
        <v>0</v>
      </c>
      <c r="F446">
        <f>IMAGE("https://raw.githubusercontent.com/stautonico/tcg-livingdex/main/images/149/4.png", 2)</f>
        <v>0</v>
      </c>
      <c r="G446" t="s">
        <v>9</v>
      </c>
    </row>
    <row r="447" spans="1:7">
      <c r="C447" s="4" t="s">
        <v>344</v>
      </c>
      <c r="D447" s="4" t="s">
        <v>345</v>
      </c>
      <c r="E447" s="4" t="s">
        <v>346</v>
      </c>
      <c r="F447" s="4" t="s">
        <v>347</v>
      </c>
    </row>
    <row r="449" spans="1:7" ht="264" customHeight="1">
      <c r="A449" s="2">
        <v>150</v>
      </c>
      <c r="B449" s="3" t="s">
        <v>348</v>
      </c>
      <c r="C449">
        <f>IMAGE("https://raw.githubusercontent.com/stautonico/tcg-livingdex/main/images/150/1.png", 2)</f>
        <v>0</v>
      </c>
      <c r="D449">
        <f>IMAGE("https://raw.githubusercontent.com/stautonico/tcg-livingdex/main/images/150/2.png", 2)</f>
        <v>0</v>
      </c>
      <c r="E449">
        <f>IMAGE("https://raw.githubusercontent.com/stautonico/tcg-livingdex/main/images/150/3.png", 2)</f>
        <v>0</v>
      </c>
      <c r="F449">
        <f>IMAGE("https://raw.githubusercontent.com/stautonico/tcg-livingdex/main/images/150/4.png", 2)</f>
        <v>0</v>
      </c>
      <c r="G449" t="s">
        <v>9</v>
      </c>
    </row>
    <row r="450" spans="1:7">
      <c r="C450" s="4" t="s">
        <v>349</v>
      </c>
      <c r="D450" s="4" t="s">
        <v>350</v>
      </c>
      <c r="E450" s="4" t="s">
        <v>351</v>
      </c>
      <c r="F450" s="4" t="s">
        <v>352</v>
      </c>
    </row>
    <row r="452" spans="1:7" ht="264" customHeight="1">
      <c r="A452" s="2">
        <v>151</v>
      </c>
      <c r="B452" s="3" t="s">
        <v>353</v>
      </c>
      <c r="C452">
        <f>IMAGE("https://raw.githubusercontent.com/stautonico/tcg-livingdex/main/images/151/1.png", 2)</f>
        <v>0</v>
      </c>
      <c r="D452">
        <f>IMAGE("https://raw.githubusercontent.com/stautonico/tcg-livingdex/main/images/151/2.png", 2)</f>
        <v>0</v>
      </c>
      <c r="E452">
        <f>IMAGE("https://raw.githubusercontent.com/stautonico/tcg-livingdex/main/images/151/3.png", 2)</f>
        <v>0</v>
      </c>
      <c r="F452">
        <f>IMAGE("https://raw.githubusercontent.com/stautonico/tcg-livingdex/main/images/151/4.png", 2)</f>
        <v>0</v>
      </c>
      <c r="G452" t="s">
        <v>9</v>
      </c>
    </row>
    <row r="453" spans="1:7">
      <c r="C453" s="4" t="s">
        <v>354</v>
      </c>
      <c r="D453" s="4" t="s">
        <v>355</v>
      </c>
      <c r="E453" s="4" t="s">
        <v>356</v>
      </c>
      <c r="F453" s="4" t="s">
        <v>357</v>
      </c>
    </row>
    <row r="455" spans="1:7" ht="264" customHeight="1">
      <c r="A455" s="2">
        <v>152</v>
      </c>
      <c r="B455" s="3" t="s">
        <v>358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8</v>
      </c>
    </row>
    <row r="458" spans="1:7" ht="264" customHeight="1">
      <c r="A458" s="2">
        <v>153</v>
      </c>
      <c r="B458" s="3" t="s">
        <v>359</v>
      </c>
      <c r="C458">
        <f>IMAGE("https://raw.githubusercontent.com/stautonico/tcg-livingdex/main/images/153/1.png", 2)</f>
        <v>0</v>
      </c>
      <c r="D458">
        <f>IMAGE("https://raw.githubusercontent.com/stautonico/tcg-livingdex/main/images/153/2.png", 2)</f>
        <v>0</v>
      </c>
      <c r="E458">
        <f>IMAGE("https://raw.githubusercontent.com/stautonico/tcg-livingdex/main/images/153/3.png", 2)</f>
        <v>0</v>
      </c>
      <c r="F458">
        <f>IMAGE("https://raw.githubusercontent.com/stautonico/tcg-livingdex/main/images/153/4.png", 2)</f>
        <v>0</v>
      </c>
      <c r="G458" t="s">
        <v>9</v>
      </c>
    </row>
    <row r="459" spans="1:7">
      <c r="C459" s="4" t="s">
        <v>360</v>
      </c>
      <c r="D459" s="4" t="s">
        <v>361</v>
      </c>
      <c r="E459" s="4" t="s">
        <v>362</v>
      </c>
      <c r="F459" s="4" t="s">
        <v>363</v>
      </c>
    </row>
    <row r="461" spans="1:7" ht="264" customHeight="1">
      <c r="A461" s="2">
        <v>154</v>
      </c>
      <c r="B461" s="3" t="s">
        <v>364</v>
      </c>
      <c r="C461">
        <f>IMAGE("https://raw.githubusercontent.com/stautonico/tcg-livingdex/main/images/154/1.png", 2)</f>
        <v>0</v>
      </c>
      <c r="D461">
        <f>IMAGE("https://raw.githubusercontent.com/stautonico/tcg-livingdex/main/images/154/2.png", 2)</f>
        <v>0</v>
      </c>
      <c r="E461">
        <f>IMAGE("https://raw.githubusercontent.com/stautonico/tcg-livingdex/main/images/154/3.png", 2)</f>
        <v>0</v>
      </c>
      <c r="F461">
        <f>IMAGE("https://raw.githubusercontent.com/stautonico/tcg-livingdex/main/images/154/4.png", 2)</f>
        <v>0</v>
      </c>
      <c r="G461" t="s">
        <v>9</v>
      </c>
    </row>
    <row r="462" spans="1:7">
      <c r="C462" s="4" t="s">
        <v>365</v>
      </c>
      <c r="D462" s="4" t="s">
        <v>366</v>
      </c>
      <c r="E462" s="4" t="s">
        <v>367</v>
      </c>
      <c r="F462" s="4" t="s">
        <v>368</v>
      </c>
    </row>
    <row r="464" spans="1:7" ht="264" customHeight="1">
      <c r="A464" s="2">
        <v>155</v>
      </c>
      <c r="B464" s="3" t="s">
        <v>369</v>
      </c>
      <c r="C464">
        <f>IMAGE("https://raw.githubusercontent.com/stautonico/tcg-livingdex/main/images/155/1.png", 2)</f>
        <v>0</v>
      </c>
      <c r="D464">
        <f>IMAGE("https://raw.githubusercontent.com/stautonico/tcg-livingdex/main/images/155/2.png", 2)</f>
        <v>0</v>
      </c>
      <c r="E464">
        <f>IMAGE("https://raw.githubusercontent.com/stautonico/tcg-livingdex/main/images/155/3.png", 2)</f>
        <v>0</v>
      </c>
      <c r="F464">
        <f>IMAGE("https://raw.githubusercontent.com/stautonico/tcg-livingdex/main/images/155/4.png", 2)</f>
        <v>0</v>
      </c>
      <c r="G464" t="s">
        <v>9</v>
      </c>
    </row>
    <row r="465" spans="1:7">
      <c r="C465" s="4" t="s">
        <v>370</v>
      </c>
      <c r="D465" s="4" t="s">
        <v>371</v>
      </c>
      <c r="E465" s="4" t="s">
        <v>372</v>
      </c>
      <c r="F465" s="4" t="s">
        <v>373</v>
      </c>
    </row>
    <row r="467" spans="1:7" ht="264" customHeight="1">
      <c r="A467" s="2">
        <v>156</v>
      </c>
      <c r="B467" s="3" t="s">
        <v>374</v>
      </c>
      <c r="C467">
        <f>IMAGE("https://raw.githubusercontent.com/stautonico/tcg-livingdex/main/images/156/1.png", 2)</f>
        <v>0</v>
      </c>
      <c r="D467">
        <f>IMAGE("https://raw.githubusercontent.com/stautonico/tcg-livingdex/main/images/156/2.png", 2)</f>
        <v>0</v>
      </c>
      <c r="E467">
        <f>IMAGE("https://raw.githubusercontent.com/stautonico/tcg-livingdex/main/images/156/3.png", 2)</f>
        <v>0</v>
      </c>
      <c r="F467">
        <f>IMAGE("https://raw.githubusercontent.com/stautonico/tcg-livingdex/main/images/156/4.png", 2)</f>
        <v>0</v>
      </c>
      <c r="G467" t="s">
        <v>9</v>
      </c>
    </row>
    <row r="468" spans="1:7">
      <c r="C468" s="4" t="s">
        <v>375</v>
      </c>
      <c r="D468" s="4" t="s">
        <v>376</v>
      </c>
      <c r="E468" s="4" t="s">
        <v>377</v>
      </c>
      <c r="F468" s="4" t="s">
        <v>378</v>
      </c>
    </row>
    <row r="470" spans="1:7" ht="264" customHeight="1">
      <c r="A470" s="2">
        <v>157</v>
      </c>
      <c r="B470" s="3" t="s">
        <v>379</v>
      </c>
      <c r="C470">
        <f>IMAGE("https://raw.githubusercontent.com/stautonico/tcg-livingdex/main/images/157/1.png", 2)</f>
        <v>0</v>
      </c>
      <c r="D470">
        <f>IMAGE("https://raw.githubusercontent.com/stautonico/tcg-livingdex/main/images/157/2.png", 2)</f>
        <v>0</v>
      </c>
      <c r="E470">
        <f>IMAGE("https://raw.githubusercontent.com/stautonico/tcg-livingdex/main/images/157/3.png", 2)</f>
        <v>0</v>
      </c>
      <c r="F470">
        <f>IMAGE("https://raw.githubusercontent.com/stautonico/tcg-livingdex/main/images/157/4.png", 2)</f>
        <v>0</v>
      </c>
      <c r="G470" t="s">
        <v>9</v>
      </c>
    </row>
    <row r="471" spans="1:7">
      <c r="C471" s="4" t="s">
        <v>380</v>
      </c>
      <c r="D471" s="4" t="s">
        <v>381</v>
      </c>
      <c r="E471" s="4" t="s">
        <v>382</v>
      </c>
      <c r="F471" s="4" t="s">
        <v>383</v>
      </c>
    </row>
    <row r="473" spans="1:7" ht="264" customHeight="1">
      <c r="A473" s="2">
        <v>158</v>
      </c>
      <c r="B473" s="3" t="s">
        <v>384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8</v>
      </c>
    </row>
    <row r="476" spans="1:7" ht="264" customHeight="1">
      <c r="A476" s="2">
        <v>159</v>
      </c>
      <c r="B476" s="3" t="s">
        <v>385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8</v>
      </c>
    </row>
    <row r="479" spans="1:7" ht="264" customHeight="1">
      <c r="A479" s="2">
        <v>160</v>
      </c>
      <c r="B479" s="3" t="s">
        <v>386</v>
      </c>
      <c r="C479">
        <f>IMAGE("https://raw.githubusercontent.com/stautonico/tcg-livingdex/main/images/160/1.png", 2)</f>
        <v>0</v>
      </c>
      <c r="D479">
        <f>IMAGE("https://raw.githubusercontent.com/stautonico/tcg-livingdex/main/images/160/2.png", 2)</f>
        <v>0</v>
      </c>
      <c r="E479">
        <f>IMAGE("https://raw.githubusercontent.com/stautonico/tcg-livingdex/main/images/160/3.png", 2)</f>
        <v>0</v>
      </c>
      <c r="F479">
        <f>IMAGE("https://raw.githubusercontent.com/stautonico/tcg-livingdex/main/images/160/4.png", 2)</f>
        <v>0</v>
      </c>
      <c r="G479" t="s">
        <v>9</v>
      </c>
    </row>
    <row r="480" spans="1:7">
      <c r="C480" s="4" t="s">
        <v>387</v>
      </c>
      <c r="D480" s="4" t="s">
        <v>388</v>
      </c>
      <c r="E480" s="4" t="s">
        <v>389</v>
      </c>
      <c r="F480" s="4" t="s">
        <v>390</v>
      </c>
    </row>
    <row r="482" spans="1:7" ht="264" customHeight="1">
      <c r="A482" s="2">
        <v>161</v>
      </c>
      <c r="B482" s="3" t="s">
        <v>391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8</v>
      </c>
    </row>
    <row r="485" spans="1:7" ht="264" customHeight="1">
      <c r="A485" s="2">
        <v>162</v>
      </c>
      <c r="B485" s="3" t="s">
        <v>392</v>
      </c>
      <c r="C485">
        <f>IMAGE("https://raw.githubusercontent.com/stautonico/tcg-livingdex/main/images/162/1.png", 2)</f>
        <v>0</v>
      </c>
      <c r="D485">
        <f>IMAGE("https://raw.githubusercontent.com/stautonico/tcg-livingdex/main/images/162/2.png", 2)</f>
        <v>0</v>
      </c>
      <c r="E485">
        <f>IMAGE("https://raw.githubusercontent.com/stautonico/tcg-livingdex/main/images/162/3.png", 2)</f>
        <v>0</v>
      </c>
      <c r="F485">
        <f>IMAGE("https://raw.githubusercontent.com/stautonico/tcg-livingdex/main/images/162/4.png", 2)</f>
        <v>0</v>
      </c>
      <c r="G485" t="s">
        <v>9</v>
      </c>
    </row>
    <row r="486" spans="1:7">
      <c r="C486" s="4" t="s">
        <v>393</v>
      </c>
      <c r="D486" s="4" t="s">
        <v>394</v>
      </c>
      <c r="E486" s="4" t="s">
        <v>395</v>
      </c>
      <c r="F486" s="4" t="s">
        <v>396</v>
      </c>
    </row>
    <row r="488" spans="1:7" ht="264" customHeight="1">
      <c r="A488" s="2">
        <v>163</v>
      </c>
      <c r="B488" s="3" t="s">
        <v>397</v>
      </c>
      <c r="C488">
        <f>IMAGE("https://raw.githubusercontent.com/stautonico/tcg-livingdex/main/images/163/1.png", 2)</f>
        <v>0</v>
      </c>
      <c r="D488">
        <f>IMAGE("https://raw.githubusercontent.com/stautonico/tcg-livingdex/main/images/163/2.png", 2)</f>
        <v>0</v>
      </c>
      <c r="E488">
        <f>IMAGE("https://raw.githubusercontent.com/stautonico/tcg-livingdex/main/images/163/3.png", 2)</f>
        <v>0</v>
      </c>
      <c r="F488">
        <f>IMAGE("https://raw.githubusercontent.com/stautonico/tcg-livingdex/main/images/163/4.png", 2)</f>
        <v>0</v>
      </c>
      <c r="G488" t="s">
        <v>9</v>
      </c>
    </row>
    <row r="489" spans="1:7">
      <c r="C489" s="4" t="s">
        <v>398</v>
      </c>
      <c r="D489" s="4" t="s">
        <v>399</v>
      </c>
      <c r="E489" s="4" t="s">
        <v>400</v>
      </c>
      <c r="F489" s="4" t="s">
        <v>401</v>
      </c>
    </row>
    <row r="491" spans="1:7" ht="264" customHeight="1">
      <c r="A491" s="2">
        <v>164</v>
      </c>
      <c r="B491" s="3" t="s">
        <v>402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8</v>
      </c>
    </row>
    <row r="494" spans="1:7" ht="264" customHeight="1">
      <c r="A494" s="2">
        <v>165</v>
      </c>
      <c r="B494" s="3" t="s">
        <v>403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8</v>
      </c>
    </row>
    <row r="497" spans="1:7" ht="264" customHeight="1">
      <c r="A497" s="2">
        <v>166</v>
      </c>
      <c r="B497" s="3" t="s">
        <v>404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8</v>
      </c>
    </row>
    <row r="500" spans="1:7" ht="264" customHeight="1">
      <c r="A500" s="2">
        <v>167</v>
      </c>
      <c r="B500" s="3" t="s">
        <v>405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8</v>
      </c>
    </row>
    <row r="503" spans="1:7" ht="264" customHeight="1">
      <c r="A503" s="2">
        <v>168</v>
      </c>
      <c r="B503" s="3" t="s">
        <v>406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8</v>
      </c>
    </row>
    <row r="506" spans="1:7" ht="264" customHeight="1">
      <c r="A506" s="2">
        <v>169</v>
      </c>
      <c r="B506" s="3" t="s">
        <v>407</v>
      </c>
      <c r="C506">
        <f>IMAGE("https://raw.githubusercontent.com/stautonico/tcg-livingdex/main/images/169/1.png", 2)</f>
        <v>0</v>
      </c>
      <c r="D506">
        <f>IMAGE("https://raw.githubusercontent.com/stautonico/tcg-livingdex/main/images/169/2.png", 2)</f>
        <v>0</v>
      </c>
      <c r="E506">
        <f>IMAGE("https://raw.githubusercontent.com/stautonico/tcg-livingdex/main/images/169/3.png", 2)</f>
        <v>0</v>
      </c>
      <c r="F506">
        <f>IMAGE("https://raw.githubusercontent.com/stautonico/tcg-livingdex/main/images/169/4.png", 2)</f>
        <v>0</v>
      </c>
      <c r="G506" t="s">
        <v>9</v>
      </c>
    </row>
    <row r="507" spans="1:7">
      <c r="C507" s="4" t="s">
        <v>408</v>
      </c>
      <c r="D507" s="4" t="s">
        <v>409</v>
      </c>
      <c r="E507" s="4" t="s">
        <v>410</v>
      </c>
      <c r="F507" s="4" t="s">
        <v>411</v>
      </c>
    </row>
    <row r="509" spans="1:7" ht="264" customHeight="1">
      <c r="A509" s="2">
        <v>170</v>
      </c>
      <c r="B509" s="3" t="s">
        <v>412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8</v>
      </c>
    </row>
    <row r="512" spans="1:7" ht="264" customHeight="1">
      <c r="A512" s="2">
        <v>171</v>
      </c>
      <c r="B512" s="3" t="s">
        <v>413</v>
      </c>
      <c r="C512">
        <f>IMAGE("https://raw.githubusercontent.com/stautonico/tcg-livingdex/main/images/171/1.png", 2)</f>
        <v>0</v>
      </c>
      <c r="D512">
        <f>IMAGE("https://raw.githubusercontent.com/stautonico/tcg-livingdex/main/images/171/2.png", 2)</f>
        <v>0</v>
      </c>
      <c r="E512">
        <f>IMAGE("https://raw.githubusercontent.com/stautonico/tcg-livingdex/main/images/171/3.png", 2)</f>
        <v>0</v>
      </c>
      <c r="F512">
        <f>IMAGE("https://raw.githubusercontent.com/stautonico/tcg-livingdex/main/images/171/4.png", 2)</f>
        <v>0</v>
      </c>
      <c r="G512" t="s">
        <v>9</v>
      </c>
    </row>
    <row r="513" spans="1:7">
      <c r="C513" s="4" t="s">
        <v>414</v>
      </c>
      <c r="D513" s="4" t="s">
        <v>415</v>
      </c>
      <c r="E513" s="4" t="s">
        <v>416</v>
      </c>
      <c r="F513" s="4" t="s">
        <v>417</v>
      </c>
    </row>
    <row r="515" spans="1:7" ht="264" customHeight="1">
      <c r="A515" s="2">
        <v>172</v>
      </c>
      <c r="B515" s="3" t="s">
        <v>418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8</v>
      </c>
    </row>
    <row r="518" spans="1:7" ht="264" customHeight="1">
      <c r="A518" s="2">
        <v>173</v>
      </c>
      <c r="B518" s="3" t="s">
        <v>419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8</v>
      </c>
    </row>
    <row r="521" spans="1:7" ht="264" customHeight="1">
      <c r="A521" s="2">
        <v>174</v>
      </c>
      <c r="B521" s="3" t="s">
        <v>420</v>
      </c>
      <c r="C521">
        <f>IMAGE("https://raw.githubusercontent.com/stautonico/tcg-livingdex/main/images/174/1.png", 2)</f>
        <v>0</v>
      </c>
      <c r="D521">
        <f>IMAGE("https://raw.githubusercontent.com/stautonico/tcg-livingdex/main/images/174/2.png", 2)</f>
        <v>0</v>
      </c>
      <c r="E521">
        <f>IMAGE("https://raw.githubusercontent.com/stautonico/tcg-livingdex/main/images/174/3.png", 2)</f>
        <v>0</v>
      </c>
      <c r="F521">
        <f>IMAGE("https://raw.githubusercontent.com/stautonico/tcg-livingdex/main/images/174/4.png", 2)</f>
        <v>0</v>
      </c>
      <c r="G521" t="s">
        <v>9</v>
      </c>
    </row>
    <row r="522" spans="1:7">
      <c r="C522" s="4" t="s">
        <v>421</v>
      </c>
      <c r="D522" s="4" t="s">
        <v>422</v>
      </c>
      <c r="E522" s="4" t="s">
        <v>423</v>
      </c>
      <c r="F522" s="4" t="s">
        <v>424</v>
      </c>
    </row>
    <row r="524" spans="1:7" ht="264" customHeight="1">
      <c r="A524" s="2">
        <v>175</v>
      </c>
      <c r="B524" s="3" t="s">
        <v>425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8</v>
      </c>
    </row>
    <row r="527" spans="1:7" ht="264" customHeight="1">
      <c r="A527" s="2">
        <v>176</v>
      </c>
      <c r="B527" s="3" t="s">
        <v>426</v>
      </c>
      <c r="C527">
        <f>IMAGE("https://raw.githubusercontent.com/stautonico/tcg-livingdex/main/images/176/1.png", 2)</f>
        <v>0</v>
      </c>
      <c r="D527">
        <f>IMAGE("https://raw.githubusercontent.com/stautonico/tcg-livingdex/main/images/176/2.png", 2)</f>
        <v>0</v>
      </c>
      <c r="E527">
        <f>IMAGE("https://raw.githubusercontent.com/stautonico/tcg-livingdex/main/images/176/3.png", 2)</f>
        <v>0</v>
      </c>
      <c r="F527">
        <f>IMAGE("https://raw.githubusercontent.com/stautonico/tcg-livingdex/main/images/176/4.png", 2)</f>
        <v>0</v>
      </c>
      <c r="G527" t="s">
        <v>9</v>
      </c>
    </row>
    <row r="528" spans="1:7">
      <c r="C528" s="4" t="s">
        <v>427</v>
      </c>
      <c r="D528" s="4" t="s">
        <v>428</v>
      </c>
      <c r="E528" s="4" t="s">
        <v>429</v>
      </c>
      <c r="F528" s="4" t="s">
        <v>430</v>
      </c>
    </row>
    <row r="530" spans="1:7" ht="264" customHeight="1">
      <c r="A530" s="2">
        <v>177</v>
      </c>
      <c r="B530" s="3" t="s">
        <v>431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8</v>
      </c>
    </row>
    <row r="533" spans="1:7" ht="264" customHeight="1">
      <c r="A533" s="2">
        <v>178</v>
      </c>
      <c r="B533" s="3" t="s">
        <v>432</v>
      </c>
      <c r="C533">
        <f>IMAGE("https://raw.githubusercontent.com/stautonico/tcg-livingdex/main/images/178/1.png", 2)</f>
        <v>0</v>
      </c>
      <c r="D533">
        <f>IMAGE("https://raw.githubusercontent.com/stautonico/tcg-livingdex/main/images/178/2.png", 2)</f>
        <v>0</v>
      </c>
      <c r="E533">
        <f>IMAGE("https://raw.githubusercontent.com/stautonico/tcg-livingdex/main/images/178/3.png", 2)</f>
        <v>0</v>
      </c>
      <c r="F533">
        <f>IMAGE("https://raw.githubusercontent.com/stautonico/tcg-livingdex/main/images/178/4.png", 2)</f>
        <v>0</v>
      </c>
      <c r="G533" t="s">
        <v>9</v>
      </c>
    </row>
    <row r="534" spans="1:7">
      <c r="C534" s="4" t="s">
        <v>433</v>
      </c>
      <c r="D534" s="4" t="s">
        <v>434</v>
      </c>
      <c r="E534" s="4" t="s">
        <v>435</v>
      </c>
      <c r="F534" s="4" t="s">
        <v>436</v>
      </c>
    </row>
    <row r="536" spans="1:7" ht="264" customHeight="1">
      <c r="A536" s="2">
        <v>179</v>
      </c>
      <c r="B536" s="3" t="s">
        <v>437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8</v>
      </c>
    </row>
    <row r="539" spans="1:7" ht="264" customHeight="1">
      <c r="A539" s="2">
        <v>180</v>
      </c>
      <c r="B539" s="3" t="s">
        <v>438</v>
      </c>
      <c r="C539">
        <f>IMAGE("https://raw.githubusercontent.com/stautonico/tcg-livingdex/main/images/180/1.png", 2)</f>
        <v>0</v>
      </c>
      <c r="D539">
        <f>IMAGE("https://raw.githubusercontent.com/stautonico/tcg-livingdex/main/images/180/2.png", 2)</f>
        <v>0</v>
      </c>
      <c r="E539">
        <f>IMAGE("https://raw.githubusercontent.com/stautonico/tcg-livingdex/main/images/180/3.png", 2)</f>
        <v>0</v>
      </c>
      <c r="F539">
        <f>IMAGE("https://raw.githubusercontent.com/stautonico/tcg-livingdex/main/images/180/4.png", 2)</f>
        <v>0</v>
      </c>
      <c r="G539" t="s">
        <v>9</v>
      </c>
    </row>
    <row r="540" spans="1:7">
      <c r="C540" s="4" t="s">
        <v>439</v>
      </c>
      <c r="D540" s="4" t="s">
        <v>440</v>
      </c>
      <c r="E540" s="4" t="s">
        <v>441</v>
      </c>
      <c r="F540" s="4" t="s">
        <v>442</v>
      </c>
    </row>
    <row r="542" spans="1:7" ht="264" customHeight="1">
      <c r="A542" s="2">
        <v>181</v>
      </c>
      <c r="B542" s="3" t="s">
        <v>443</v>
      </c>
      <c r="C542">
        <f>IMAGE("https://raw.githubusercontent.com/stautonico/tcg-livingdex/main/images/181/1.png", 2)</f>
        <v>0</v>
      </c>
      <c r="D542">
        <f>IMAGE("https://raw.githubusercontent.com/stautonico/tcg-livingdex/main/images/181/2.png", 2)</f>
        <v>0</v>
      </c>
      <c r="E542">
        <f>IMAGE("https://raw.githubusercontent.com/stautonico/tcg-livingdex/main/images/181/3.png", 2)</f>
        <v>0</v>
      </c>
      <c r="F542">
        <f>IMAGE("https://raw.githubusercontent.com/stautonico/tcg-livingdex/main/images/181/4.png", 2)</f>
        <v>0</v>
      </c>
      <c r="G542" t="s">
        <v>9</v>
      </c>
    </row>
    <row r="543" spans="1:7">
      <c r="C543" s="4" t="s">
        <v>444</v>
      </c>
      <c r="D543" s="4" t="s">
        <v>445</v>
      </c>
      <c r="E543" s="4" t="s">
        <v>446</v>
      </c>
      <c r="F543" s="4" t="s">
        <v>447</v>
      </c>
    </row>
    <row r="545" spans="1:7" ht="264" customHeight="1">
      <c r="A545" s="2">
        <v>182</v>
      </c>
      <c r="B545" s="3" t="s">
        <v>448</v>
      </c>
      <c r="C545">
        <f>IMAGE("https://raw.githubusercontent.com/stautonico/tcg-livingdex/main/images/182/1.png", 2)</f>
        <v>0</v>
      </c>
      <c r="D545">
        <f>IMAGE("https://raw.githubusercontent.com/stautonico/tcg-livingdex/main/images/182/2.png", 2)</f>
        <v>0</v>
      </c>
      <c r="E545">
        <f>IMAGE("https://raw.githubusercontent.com/stautonico/tcg-livingdex/main/images/182/3.png", 2)</f>
        <v>0</v>
      </c>
      <c r="F545">
        <f>IMAGE("https://raw.githubusercontent.com/stautonico/tcg-livingdex/main/images/182/4.png", 2)</f>
        <v>0</v>
      </c>
      <c r="G545" t="s">
        <v>9</v>
      </c>
    </row>
    <row r="546" spans="1:7">
      <c r="C546" s="4" t="s">
        <v>449</v>
      </c>
      <c r="D546" s="4" t="s">
        <v>450</v>
      </c>
      <c r="E546" s="4" t="s">
        <v>451</v>
      </c>
      <c r="F546" s="4" t="s">
        <v>452</v>
      </c>
    </row>
    <row r="548" spans="1:7" ht="264" customHeight="1">
      <c r="A548" s="2">
        <v>183</v>
      </c>
      <c r="B548" s="3" t="s">
        <v>453</v>
      </c>
      <c r="C548">
        <f>IMAGE("https://raw.githubusercontent.com/stautonico/tcg-livingdex/main/images/183/1.png", 2)</f>
        <v>0</v>
      </c>
      <c r="D548">
        <f>IMAGE("https://raw.githubusercontent.com/stautonico/tcg-livingdex/main/images/183/2.png", 2)</f>
        <v>0</v>
      </c>
      <c r="E548">
        <f>IMAGE("https://raw.githubusercontent.com/stautonico/tcg-livingdex/main/images/183/3.png", 2)</f>
        <v>0</v>
      </c>
      <c r="F548">
        <f>IMAGE("https://raw.githubusercontent.com/stautonico/tcg-livingdex/main/images/183/4.png", 2)</f>
        <v>0</v>
      </c>
      <c r="G548" t="s">
        <v>9</v>
      </c>
    </row>
    <row r="549" spans="1:7">
      <c r="C549" s="4" t="s">
        <v>454</v>
      </c>
      <c r="D549" s="4" t="s">
        <v>455</v>
      </c>
      <c r="E549" s="4" t="s">
        <v>456</v>
      </c>
      <c r="F549" s="4" t="s">
        <v>457</v>
      </c>
    </row>
    <row r="551" spans="1:7" ht="264" customHeight="1">
      <c r="A551" s="2">
        <v>184</v>
      </c>
      <c r="B551" s="3" t="s">
        <v>458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8</v>
      </c>
    </row>
    <row r="554" spans="1:7" ht="264" customHeight="1">
      <c r="A554" s="2">
        <v>185</v>
      </c>
      <c r="B554" s="3" t="s">
        <v>459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8</v>
      </c>
    </row>
    <row r="557" spans="1:7" ht="264" customHeight="1">
      <c r="A557" s="2">
        <v>186</v>
      </c>
      <c r="B557" s="3" t="s">
        <v>460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8</v>
      </c>
    </row>
    <row r="560" spans="1:7" ht="264" customHeight="1">
      <c r="A560" s="2">
        <v>187</v>
      </c>
      <c r="B560" s="3" t="s">
        <v>461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8</v>
      </c>
    </row>
    <row r="563" spans="1:7" ht="264" customHeight="1">
      <c r="A563" s="2">
        <v>188</v>
      </c>
      <c r="B563" s="3" t="s">
        <v>462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8</v>
      </c>
    </row>
    <row r="566" spans="1:7" ht="264" customHeight="1">
      <c r="A566" s="2">
        <v>189</v>
      </c>
      <c r="B566" s="3" t="s">
        <v>463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8</v>
      </c>
    </row>
    <row r="569" spans="1:7" ht="264" customHeight="1">
      <c r="A569" s="2">
        <v>190</v>
      </c>
      <c r="B569" s="3" t="s">
        <v>464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8</v>
      </c>
    </row>
    <row r="572" spans="1:7" ht="264" customHeight="1">
      <c r="A572" s="2">
        <v>191</v>
      </c>
      <c r="B572" s="3" t="s">
        <v>465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8</v>
      </c>
    </row>
    <row r="575" spans="1:7" ht="264" customHeight="1">
      <c r="A575" s="2">
        <v>192</v>
      </c>
      <c r="B575" s="3" t="s">
        <v>466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467</v>
      </c>
    </row>
    <row r="578" spans="1:7" ht="264" customHeight="1">
      <c r="A578" s="2">
        <v>193</v>
      </c>
      <c r="B578" s="3" t="s">
        <v>468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8</v>
      </c>
    </row>
    <row r="581" spans="1:7" ht="264" customHeight="1">
      <c r="A581" s="2">
        <v>194</v>
      </c>
      <c r="B581" s="3" t="s">
        <v>469</v>
      </c>
      <c r="C581">
        <f>IMAGE("https://raw.githubusercontent.com/stautonico/tcg-livingdex/main/images/194/1.png", 2)</f>
        <v>0</v>
      </c>
      <c r="D581">
        <f>IMAGE("https://raw.githubusercontent.com/stautonico/tcg-livingdex/main/images/194/2.png", 2)</f>
        <v>0</v>
      </c>
      <c r="E581">
        <f>IMAGE("https://raw.githubusercontent.com/stautonico/tcg-livingdex/main/images/194/3.png", 2)</f>
        <v>0</v>
      </c>
      <c r="F581">
        <f>IMAGE("https://raw.githubusercontent.com/stautonico/tcg-livingdex/main/images/194/4.png", 2)</f>
        <v>0</v>
      </c>
      <c r="G581" t="s">
        <v>9</v>
      </c>
    </row>
    <row r="582" spans="1:7">
      <c r="C582" s="4" t="s">
        <v>470</v>
      </c>
      <c r="D582" s="4" t="s">
        <v>471</v>
      </c>
      <c r="E582" s="4" t="s">
        <v>472</v>
      </c>
      <c r="F582" s="4" t="s">
        <v>473</v>
      </c>
    </row>
    <row r="584" spans="1:7" ht="264" customHeight="1">
      <c r="A584" s="2">
        <v>195</v>
      </c>
      <c r="B584" s="3" t="s">
        <v>474</v>
      </c>
      <c r="C584">
        <f>IMAGE("https://raw.githubusercontent.com/stautonico/tcg-livingdex/main/images/195/1.png", 2)</f>
        <v>0</v>
      </c>
      <c r="D584">
        <f>IMAGE("https://raw.githubusercontent.com/stautonico/tcg-livingdex/main/images/195/2.png", 2)</f>
        <v>0</v>
      </c>
      <c r="E584">
        <f>IMAGE("https://raw.githubusercontent.com/stautonico/tcg-livingdex/main/images/195/3.png", 2)</f>
        <v>0</v>
      </c>
      <c r="F584">
        <f>IMAGE("https://raw.githubusercontent.com/stautonico/tcg-livingdex/main/images/195/4.png", 2)</f>
        <v>0</v>
      </c>
      <c r="G584" t="s">
        <v>9</v>
      </c>
    </row>
    <row r="585" spans="1:7">
      <c r="C585" s="4" t="s">
        <v>475</v>
      </c>
      <c r="D585" s="4" t="s">
        <v>476</v>
      </c>
      <c r="E585" s="4" t="s">
        <v>477</v>
      </c>
      <c r="F585" s="4" t="s">
        <v>478</v>
      </c>
    </row>
    <row r="587" spans="1:7" ht="264" customHeight="1">
      <c r="A587" s="2">
        <v>196</v>
      </c>
      <c r="B587" s="3" t="s">
        <v>479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8</v>
      </c>
    </row>
    <row r="590" spans="1:7" ht="264" customHeight="1">
      <c r="A590" s="2">
        <v>197</v>
      </c>
      <c r="B590" s="3" t="s">
        <v>480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8</v>
      </c>
    </row>
    <row r="593" spans="1:7" ht="264" customHeight="1">
      <c r="A593" s="2">
        <v>198</v>
      </c>
      <c r="B593" s="3" t="s">
        <v>481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8</v>
      </c>
    </row>
    <row r="596" spans="1:7" ht="264" customHeight="1">
      <c r="A596" s="2">
        <v>199</v>
      </c>
      <c r="B596" s="3" t="s">
        <v>482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8</v>
      </c>
    </row>
    <row r="599" spans="1:7" ht="264" customHeight="1">
      <c r="A599" s="2">
        <v>200</v>
      </c>
      <c r="B599" s="3" t="s">
        <v>483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8</v>
      </c>
    </row>
    <row r="602" spans="1:7" ht="264" customHeight="1">
      <c r="A602" s="2">
        <v>201</v>
      </c>
      <c r="B602" s="3" t="s">
        <v>484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8</v>
      </c>
    </row>
    <row r="605" spans="1:7" ht="264" customHeight="1">
      <c r="A605" s="2">
        <v>202</v>
      </c>
      <c r="B605" s="3" t="s">
        <v>485</v>
      </c>
      <c r="C605">
        <f>IMAGE("https://raw.githubusercontent.com/stautonico/tcg-livingdex/main/images/202/1.png", 2)</f>
        <v>0</v>
      </c>
      <c r="D605">
        <f>IMAGE("https://raw.githubusercontent.com/stautonico/tcg-livingdex/main/images/202/2.png", 2)</f>
        <v>0</v>
      </c>
      <c r="E605">
        <f>IMAGE("https://raw.githubusercontent.com/stautonico/tcg-livingdex/main/images/202/3.png", 2)</f>
        <v>0</v>
      </c>
      <c r="F605">
        <f>IMAGE("https://raw.githubusercontent.com/stautonico/tcg-livingdex/main/images/202/4.png", 2)</f>
        <v>0</v>
      </c>
      <c r="G605" t="s">
        <v>9</v>
      </c>
    </row>
    <row r="606" spans="1:7">
      <c r="C606" s="4" t="s">
        <v>486</v>
      </c>
      <c r="D606" s="4" t="s">
        <v>487</v>
      </c>
      <c r="E606" s="4" t="s">
        <v>488</v>
      </c>
      <c r="F606" s="4" t="s">
        <v>489</v>
      </c>
    </row>
    <row r="608" spans="1:7" ht="264" customHeight="1">
      <c r="A608" s="2">
        <v>203</v>
      </c>
      <c r="B608" s="3" t="s">
        <v>490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8</v>
      </c>
    </row>
    <row r="611" spans="1:7" ht="264" customHeight="1">
      <c r="A611" s="2">
        <v>204</v>
      </c>
      <c r="B611" s="3" t="s">
        <v>491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8</v>
      </c>
    </row>
    <row r="614" spans="1:7" ht="264" customHeight="1">
      <c r="A614" s="2">
        <v>205</v>
      </c>
      <c r="B614" s="3" t="s">
        <v>492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8</v>
      </c>
    </row>
    <row r="617" spans="1:7" ht="264" customHeight="1">
      <c r="A617" s="2">
        <v>206</v>
      </c>
      <c r="B617" s="3" t="s">
        <v>493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494</v>
      </c>
    </row>
    <row r="620" spans="1:7" ht="264" customHeight="1">
      <c r="A620" s="2">
        <v>207</v>
      </c>
      <c r="B620" s="3" t="s">
        <v>495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8</v>
      </c>
    </row>
    <row r="623" spans="1:7" ht="264" customHeight="1">
      <c r="A623" s="2">
        <v>208</v>
      </c>
      <c r="B623" s="3" t="s">
        <v>496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8</v>
      </c>
    </row>
    <row r="626" spans="1:7" ht="264" customHeight="1">
      <c r="A626" s="2">
        <v>209</v>
      </c>
      <c r="B626" s="3" t="s">
        <v>497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8</v>
      </c>
    </row>
    <row r="629" spans="1:7" ht="264" customHeight="1">
      <c r="A629" s="2">
        <v>210</v>
      </c>
      <c r="B629" s="3" t="s">
        <v>498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8</v>
      </c>
    </row>
    <row r="632" spans="1:7" ht="264" customHeight="1">
      <c r="A632" s="2">
        <v>211</v>
      </c>
      <c r="B632" s="3" t="s">
        <v>499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8</v>
      </c>
    </row>
    <row r="635" spans="1:7" ht="264" customHeight="1">
      <c r="A635" s="2">
        <v>212</v>
      </c>
      <c r="B635" s="3" t="s">
        <v>500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8</v>
      </c>
    </row>
    <row r="638" spans="1:7" ht="264" customHeight="1">
      <c r="A638" s="2">
        <v>213</v>
      </c>
      <c r="B638" s="3" t="s">
        <v>501</v>
      </c>
      <c r="C638">
        <f>IMAGE("https://raw.githubusercontent.com/stautonico/tcg-livingdex/main/images/213/1.png", 2)</f>
        <v>0</v>
      </c>
      <c r="D638">
        <f>IMAGE("https://raw.githubusercontent.com/stautonico/tcg-livingdex/main/images/213/2.png", 2)</f>
        <v>0</v>
      </c>
      <c r="E638">
        <f>IMAGE("https://raw.githubusercontent.com/stautonico/tcg-livingdex/main/images/213/3.png", 2)</f>
        <v>0</v>
      </c>
      <c r="F638">
        <f>IMAGE("https://raw.githubusercontent.com/stautonico/tcg-livingdex/main/images/213/4.png", 2)</f>
        <v>0</v>
      </c>
      <c r="G638" t="s">
        <v>9</v>
      </c>
    </row>
    <row r="639" spans="1:7">
      <c r="C639" s="4" t="s">
        <v>502</v>
      </c>
      <c r="D639" s="4" t="s">
        <v>503</v>
      </c>
      <c r="E639" s="4" t="s">
        <v>504</v>
      </c>
      <c r="F639" s="4" t="s">
        <v>505</v>
      </c>
    </row>
    <row r="641" spans="1:7" ht="264" customHeight="1">
      <c r="A641" s="2">
        <v>214</v>
      </c>
      <c r="B641" s="3" t="s">
        <v>506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8</v>
      </c>
    </row>
    <row r="644" spans="1:7" ht="264" customHeight="1">
      <c r="A644" s="2">
        <v>215</v>
      </c>
      <c r="B644" s="3" t="s">
        <v>507</v>
      </c>
      <c r="C644">
        <f>IMAGE("https://raw.githubusercontent.com/stautonico/tcg-livingdex/main/images/215/1.png", 2)</f>
        <v>0</v>
      </c>
      <c r="D644">
        <f>IMAGE("https://raw.githubusercontent.com/stautonico/tcg-livingdex/main/images/215/2.png", 2)</f>
        <v>0</v>
      </c>
      <c r="E644">
        <f>IMAGE("https://raw.githubusercontent.com/stautonico/tcg-livingdex/main/images/215/3.png", 2)</f>
        <v>0</v>
      </c>
      <c r="F644">
        <f>IMAGE("https://raw.githubusercontent.com/stautonico/tcg-livingdex/main/images/215/4.png", 2)</f>
        <v>0</v>
      </c>
      <c r="G644" t="s">
        <v>9</v>
      </c>
    </row>
    <row r="645" spans="1:7">
      <c r="C645" s="4" t="s">
        <v>508</v>
      </c>
      <c r="D645" s="4" t="s">
        <v>509</v>
      </c>
      <c r="E645" s="4" t="s">
        <v>510</v>
      </c>
      <c r="F645" s="4" t="s">
        <v>511</v>
      </c>
    </row>
    <row r="647" spans="1:7" ht="264" customHeight="1">
      <c r="A647" s="2">
        <v>216</v>
      </c>
      <c r="B647" s="3" t="s">
        <v>512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8</v>
      </c>
    </row>
    <row r="650" spans="1:7" ht="264" customHeight="1">
      <c r="A650" s="2">
        <v>217</v>
      </c>
      <c r="B650" s="3" t="s">
        <v>513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8</v>
      </c>
    </row>
    <row r="653" spans="1:7" ht="264" customHeight="1">
      <c r="A653" s="2">
        <v>218</v>
      </c>
      <c r="B653" s="3" t="s">
        <v>514</v>
      </c>
      <c r="C653">
        <f>IMAGE("https://raw.githubusercontent.com/stautonico/tcg-livingdex/main/images/218/1.png", 2)</f>
        <v>0</v>
      </c>
      <c r="D653">
        <f>IMAGE("https://raw.githubusercontent.com/stautonico/tcg-livingdex/main/images/218/2.png", 2)</f>
        <v>0</v>
      </c>
      <c r="E653">
        <f>IMAGE("https://raw.githubusercontent.com/stautonico/tcg-livingdex/main/images/218/3.png", 2)</f>
        <v>0</v>
      </c>
      <c r="F653">
        <f>IMAGE("https://raw.githubusercontent.com/stautonico/tcg-livingdex/main/images/218/4.png", 2)</f>
        <v>0</v>
      </c>
      <c r="G653" t="s">
        <v>9</v>
      </c>
    </row>
    <row r="654" spans="1:7">
      <c r="C654" s="4" t="s">
        <v>515</v>
      </c>
      <c r="D654" s="4" t="s">
        <v>516</v>
      </c>
      <c r="E654" s="4" t="s">
        <v>517</v>
      </c>
      <c r="F654" s="4" t="s">
        <v>518</v>
      </c>
    </row>
    <row r="656" spans="1:7" ht="264" customHeight="1">
      <c r="A656" s="2">
        <v>219</v>
      </c>
      <c r="B656" s="3" t="s">
        <v>519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8</v>
      </c>
    </row>
    <row r="659" spans="1:7" ht="264" customHeight="1">
      <c r="A659" s="2">
        <v>220</v>
      </c>
      <c r="B659" s="3" t="s">
        <v>520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8</v>
      </c>
    </row>
    <row r="662" spans="1:7" ht="264" customHeight="1">
      <c r="A662" s="2">
        <v>221</v>
      </c>
      <c r="B662" s="3" t="s">
        <v>521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8</v>
      </c>
    </row>
    <row r="665" spans="1:7" ht="264" customHeight="1">
      <c r="A665" s="2">
        <v>222</v>
      </c>
      <c r="B665" s="3" t="s">
        <v>522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8</v>
      </c>
    </row>
    <row r="668" spans="1:7" ht="264" customHeight="1">
      <c r="A668" s="2">
        <v>223</v>
      </c>
      <c r="B668" s="3" t="s">
        <v>523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8</v>
      </c>
    </row>
    <row r="671" spans="1:7" ht="264" customHeight="1">
      <c r="A671" s="2">
        <v>224</v>
      </c>
      <c r="B671" s="3" t="s">
        <v>524</v>
      </c>
      <c r="C671">
        <f>IMAGE("https://raw.githubusercontent.com/stautonico/tcg-livingdex/main/images/224/1.png", 2)</f>
        <v>0</v>
      </c>
      <c r="D671">
        <f>IMAGE("https://raw.githubusercontent.com/stautonico/tcg-livingdex/main/images/224/2.png", 2)</f>
        <v>0</v>
      </c>
      <c r="E671">
        <f>IMAGE("https://raw.githubusercontent.com/stautonico/tcg-livingdex/main/images/224/3.png", 2)</f>
        <v>0</v>
      </c>
      <c r="F671">
        <f>IMAGE("https://raw.githubusercontent.com/stautonico/tcg-livingdex/main/images/224/4.png", 2)</f>
        <v>0</v>
      </c>
      <c r="G671" t="s">
        <v>9</v>
      </c>
    </row>
    <row r="672" spans="1:7">
      <c r="C672" s="4" t="s">
        <v>525</v>
      </c>
      <c r="D672" s="4" t="s">
        <v>526</v>
      </c>
      <c r="E672" s="4" t="s">
        <v>527</v>
      </c>
      <c r="F672" s="4" t="s">
        <v>528</v>
      </c>
    </row>
    <row r="674" spans="1:7" ht="264" customHeight="1">
      <c r="A674" s="2">
        <v>225</v>
      </c>
      <c r="B674" s="3" t="s">
        <v>529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8</v>
      </c>
    </row>
    <row r="677" spans="1:7" ht="264" customHeight="1">
      <c r="A677" s="2">
        <v>226</v>
      </c>
      <c r="B677" s="3" t="s">
        <v>530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8</v>
      </c>
    </row>
    <row r="680" spans="1:7" ht="264" customHeight="1">
      <c r="A680" s="2">
        <v>227</v>
      </c>
      <c r="B680" s="3" t="s">
        <v>531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8</v>
      </c>
    </row>
    <row r="683" spans="1:7" ht="264" customHeight="1">
      <c r="A683" s="2">
        <v>228</v>
      </c>
      <c r="B683" s="3" t="s">
        <v>532</v>
      </c>
      <c r="C683">
        <f>IMAGE("https://raw.githubusercontent.com/stautonico/tcg-livingdex/main/images/228/1.png", 2)</f>
        <v>0</v>
      </c>
      <c r="D683">
        <f>IMAGE("https://raw.githubusercontent.com/stautonico/tcg-livingdex/main/images/228/2.png", 2)</f>
        <v>0</v>
      </c>
      <c r="E683">
        <f>IMAGE("https://raw.githubusercontent.com/stautonico/tcg-livingdex/main/images/228/3.png", 2)</f>
        <v>0</v>
      </c>
      <c r="G683" t="s">
        <v>9</v>
      </c>
    </row>
    <row r="684" spans="1:7">
      <c r="C684" s="4" t="s">
        <v>533</v>
      </c>
      <c r="D684" s="4" t="s">
        <v>534</v>
      </c>
      <c r="E684" s="4" t="s">
        <v>535</v>
      </c>
    </row>
    <row r="686" spans="1:7" ht="264" customHeight="1">
      <c r="A686" s="2">
        <v>229</v>
      </c>
      <c r="B686" s="3" t="s">
        <v>536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8</v>
      </c>
    </row>
    <row r="689" spans="1:7" ht="264" customHeight="1">
      <c r="A689" s="2">
        <v>230</v>
      </c>
      <c r="B689" s="3" t="s">
        <v>537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8</v>
      </c>
    </row>
    <row r="692" spans="1:7" ht="264" customHeight="1">
      <c r="A692" s="2">
        <v>231</v>
      </c>
      <c r="B692" s="3" t="s">
        <v>538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8</v>
      </c>
    </row>
    <row r="695" spans="1:7" ht="264" customHeight="1">
      <c r="A695" s="2">
        <v>232</v>
      </c>
      <c r="B695" s="3" t="s">
        <v>539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8</v>
      </c>
    </row>
    <row r="698" spans="1:7" ht="264" customHeight="1">
      <c r="A698" s="2">
        <v>233</v>
      </c>
      <c r="B698" s="3" t="s">
        <v>540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8</v>
      </c>
    </row>
    <row r="701" spans="1:7" ht="264" customHeight="1">
      <c r="A701" s="2">
        <v>234</v>
      </c>
      <c r="B701" s="3" t="s">
        <v>541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8</v>
      </c>
    </row>
    <row r="704" spans="1:7" ht="264" customHeight="1">
      <c r="A704" s="2">
        <v>235</v>
      </c>
      <c r="B704" s="3" t="s">
        <v>542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8</v>
      </c>
    </row>
    <row r="707" spans="1:7" ht="264" customHeight="1">
      <c r="A707" s="2">
        <v>236</v>
      </c>
      <c r="B707" s="3" t="s">
        <v>543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8</v>
      </c>
    </row>
    <row r="710" spans="1:7" ht="264" customHeight="1">
      <c r="A710" s="2">
        <v>237</v>
      </c>
      <c r="B710" s="3" t="s">
        <v>544</v>
      </c>
      <c r="C710">
        <f>IMAGE("https://raw.githubusercontent.com/stautonico/tcg-livingdex/main/images/237/1.png", 2)</f>
        <v>0</v>
      </c>
      <c r="D710">
        <f>IMAGE("https://raw.githubusercontent.com/stautonico/tcg-livingdex/main/images/237/2.png", 2)</f>
        <v>0</v>
      </c>
      <c r="E710">
        <f>IMAGE("https://raw.githubusercontent.com/stautonico/tcg-livingdex/main/images/237/3.png", 2)</f>
        <v>0</v>
      </c>
      <c r="F710">
        <f>IMAGE("https://raw.githubusercontent.com/stautonico/tcg-livingdex/main/images/237/4.png", 2)</f>
        <v>0</v>
      </c>
      <c r="G710" t="s">
        <v>9</v>
      </c>
    </row>
    <row r="711" spans="1:7">
      <c r="C711" s="4" t="s">
        <v>545</v>
      </c>
      <c r="D711" s="4" t="s">
        <v>546</v>
      </c>
      <c r="E711" s="4" t="s">
        <v>547</v>
      </c>
      <c r="F711" s="4" t="s">
        <v>548</v>
      </c>
    </row>
    <row r="713" spans="1:7" ht="264" customHeight="1">
      <c r="A713" s="2">
        <v>238</v>
      </c>
      <c r="B713" s="3" t="s">
        <v>549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8</v>
      </c>
    </row>
    <row r="716" spans="1:7" ht="264" customHeight="1">
      <c r="A716" s="2">
        <v>239</v>
      </c>
      <c r="B716" s="3" t="s">
        <v>550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8</v>
      </c>
    </row>
    <row r="719" spans="1:7" ht="264" customHeight="1">
      <c r="A719" s="2">
        <v>240</v>
      </c>
      <c r="B719" s="3" t="s">
        <v>551</v>
      </c>
      <c r="C719">
        <f>IMAGE("https://raw.githubusercontent.com/stautonico/tcg-livingdex/main/images/240/1.png", 2)</f>
        <v>0</v>
      </c>
      <c r="D719">
        <f>IMAGE("https://raw.githubusercontent.com/stautonico/tcg-livingdex/main/images/240/2.png", 2)</f>
        <v>0</v>
      </c>
      <c r="E719">
        <f>IMAGE("https://raw.githubusercontent.com/stautonico/tcg-livingdex/main/images/240/3.png", 2)</f>
        <v>0</v>
      </c>
      <c r="F719">
        <f>IMAGE("https://raw.githubusercontent.com/stautonico/tcg-livingdex/main/images/240/4.png", 2)</f>
        <v>0</v>
      </c>
      <c r="G719" t="s">
        <v>9</v>
      </c>
    </row>
    <row r="720" spans="1:7">
      <c r="C720" s="4" t="s">
        <v>552</v>
      </c>
      <c r="D720" s="4" t="s">
        <v>553</v>
      </c>
      <c r="E720" s="4" t="s">
        <v>554</v>
      </c>
      <c r="F720" s="4" t="s">
        <v>555</v>
      </c>
    </row>
    <row r="722" spans="1:7" ht="264" customHeight="1">
      <c r="A722" s="2">
        <v>241</v>
      </c>
      <c r="B722" s="3" t="s">
        <v>556</v>
      </c>
      <c r="C722">
        <f>IMAGE("https://raw.githubusercontent.com/stautonico/tcg-livingdex/main/images/241/1.png", 2)</f>
        <v>0</v>
      </c>
      <c r="D722">
        <f>IMAGE("https://raw.githubusercontent.com/stautonico/tcg-livingdex/main/images/241/2.png", 2)</f>
        <v>0</v>
      </c>
      <c r="E722">
        <f>IMAGE("https://raw.githubusercontent.com/stautonico/tcg-livingdex/main/images/241/3.png", 2)</f>
        <v>0</v>
      </c>
      <c r="F722">
        <f>IMAGE("https://raw.githubusercontent.com/stautonico/tcg-livingdex/main/images/241/4.png", 2)</f>
        <v>0</v>
      </c>
      <c r="G722" t="s">
        <v>9</v>
      </c>
    </row>
    <row r="723" spans="1:7">
      <c r="C723" s="4" t="s">
        <v>557</v>
      </c>
      <c r="D723" s="4" t="s">
        <v>558</v>
      </c>
      <c r="E723" s="4" t="s">
        <v>559</v>
      </c>
      <c r="F723" s="4" t="s">
        <v>560</v>
      </c>
    </row>
    <row r="725" spans="1:7" ht="264" customHeight="1">
      <c r="A725" s="2">
        <v>242</v>
      </c>
      <c r="B725" s="3" t="s">
        <v>561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8</v>
      </c>
    </row>
    <row r="728" spans="1:7" ht="264" customHeight="1">
      <c r="A728" s="2">
        <v>243</v>
      </c>
      <c r="B728" s="3" t="s">
        <v>562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8</v>
      </c>
    </row>
    <row r="731" spans="1:7" ht="264" customHeight="1">
      <c r="A731" s="2">
        <v>244</v>
      </c>
      <c r="B731" s="3" t="s">
        <v>563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8</v>
      </c>
    </row>
    <row r="734" spans="1:7" ht="264" customHeight="1">
      <c r="A734" s="2">
        <v>245</v>
      </c>
      <c r="B734" s="3" t="s">
        <v>564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8</v>
      </c>
    </row>
    <row r="737" spans="1:7" ht="264" customHeight="1">
      <c r="A737" s="2">
        <v>246</v>
      </c>
      <c r="B737" s="3" t="s">
        <v>565</v>
      </c>
      <c r="C737">
        <f>IMAGE("https://raw.githubusercontent.com/stautonico/tcg-livingdex/main/images/246/1.png", 2)</f>
        <v>0</v>
      </c>
      <c r="D737">
        <f>IMAGE("https://raw.githubusercontent.com/stautonico/tcg-livingdex/main/images/246/2.png", 2)</f>
        <v>0</v>
      </c>
      <c r="E737">
        <f>IMAGE("https://raw.githubusercontent.com/stautonico/tcg-livingdex/main/images/246/3.png", 2)</f>
        <v>0</v>
      </c>
      <c r="F737">
        <f>IMAGE("https://raw.githubusercontent.com/stautonico/tcg-livingdex/main/images/246/4.png", 2)</f>
        <v>0</v>
      </c>
      <c r="G737" t="s">
        <v>9</v>
      </c>
    </row>
    <row r="738" spans="1:7">
      <c r="C738" s="4" t="s">
        <v>566</v>
      </c>
      <c r="D738" s="4" t="s">
        <v>567</v>
      </c>
      <c r="E738" s="4" t="s">
        <v>568</v>
      </c>
      <c r="F738" s="4" t="s">
        <v>569</v>
      </c>
    </row>
    <row r="740" spans="1:7" ht="264" customHeight="1">
      <c r="A740" s="2">
        <v>247</v>
      </c>
      <c r="B740" s="3" t="s">
        <v>570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8</v>
      </c>
    </row>
    <row r="743" spans="1:7" ht="264" customHeight="1">
      <c r="A743" s="2">
        <v>248</v>
      </c>
      <c r="B743" s="3" t="s">
        <v>571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8</v>
      </c>
    </row>
    <row r="746" spans="1:7" ht="264" customHeight="1">
      <c r="A746" s="2">
        <v>249</v>
      </c>
      <c r="B746" s="3" t="s">
        <v>572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8</v>
      </c>
    </row>
    <row r="749" spans="1:7" ht="264" customHeight="1">
      <c r="A749" s="2">
        <v>250</v>
      </c>
      <c r="B749" s="3" t="s">
        <v>573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8</v>
      </c>
    </row>
    <row r="752" spans="1:7" ht="264" customHeight="1">
      <c r="A752" s="2">
        <v>251</v>
      </c>
      <c r="B752" s="3" t="s">
        <v>574</v>
      </c>
      <c r="C752">
        <f>IMAGE("https://raw.githubusercontent.com/stautonico/tcg-livingdex/main/images/251/1.png", 2)</f>
        <v>0</v>
      </c>
      <c r="D752">
        <f>IMAGE("https://raw.githubusercontent.com/stautonico/tcg-livingdex/main/images/251/2.png", 2)</f>
        <v>0</v>
      </c>
      <c r="E752">
        <f>IMAGE("https://raw.githubusercontent.com/stautonico/tcg-livingdex/main/images/251/3.png", 2)</f>
        <v>0</v>
      </c>
      <c r="F752">
        <f>IMAGE("https://raw.githubusercontent.com/stautonico/tcg-livingdex/main/images/251/4.png", 2)</f>
        <v>0</v>
      </c>
      <c r="G752" t="s">
        <v>9</v>
      </c>
    </row>
    <row r="753" spans="1:7">
      <c r="C753" s="4" t="s">
        <v>575</v>
      </c>
      <c r="D753" s="4" t="s">
        <v>576</v>
      </c>
      <c r="E753" s="4" t="s">
        <v>577</v>
      </c>
      <c r="F753" s="4" t="s">
        <v>578</v>
      </c>
    </row>
    <row r="755" spans="1:7" ht="264" customHeight="1">
      <c r="A755" s="2">
        <v>252</v>
      </c>
      <c r="B755" s="3" t="s">
        <v>579</v>
      </c>
      <c r="C755">
        <f>IMAGE("https://raw.githubusercontent.com/stautonico/tcg-livingdex/main/images/252/1.png", 2)</f>
        <v>0</v>
      </c>
      <c r="D755">
        <f>IMAGE("https://raw.githubusercontent.com/stautonico/tcg-livingdex/main/images/252/2.png", 2)</f>
        <v>0</v>
      </c>
      <c r="E755">
        <f>IMAGE("https://raw.githubusercontent.com/stautonico/tcg-livingdex/main/images/252/3.png", 2)</f>
        <v>0</v>
      </c>
      <c r="F755">
        <f>IMAGE("https://raw.githubusercontent.com/stautonico/tcg-livingdex/main/images/252/4.png", 2)</f>
        <v>0</v>
      </c>
      <c r="G755" t="s">
        <v>9</v>
      </c>
    </row>
    <row r="756" spans="1:7">
      <c r="C756" s="4" t="s">
        <v>580</v>
      </c>
      <c r="D756" s="4" t="s">
        <v>581</v>
      </c>
      <c r="E756" s="4" t="s">
        <v>582</v>
      </c>
      <c r="F756" s="4" t="s">
        <v>583</v>
      </c>
    </row>
    <row r="758" spans="1:7" ht="264" customHeight="1">
      <c r="A758" s="2">
        <v>253</v>
      </c>
      <c r="B758" s="3" t="s">
        <v>584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8</v>
      </c>
    </row>
    <row r="761" spans="1:7" ht="264" customHeight="1">
      <c r="A761" s="2">
        <v>254</v>
      </c>
      <c r="B761" s="3" t="s">
        <v>585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8</v>
      </c>
    </row>
    <row r="764" spans="1:7" ht="264" customHeight="1">
      <c r="A764" s="2">
        <v>255</v>
      </c>
      <c r="B764" s="3" t="s">
        <v>586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8</v>
      </c>
    </row>
    <row r="767" spans="1:7" ht="264" customHeight="1">
      <c r="A767" s="2">
        <v>256</v>
      </c>
      <c r="B767" s="3" t="s">
        <v>587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8</v>
      </c>
    </row>
    <row r="770" spans="1:7" ht="264" customHeight="1">
      <c r="A770" s="2">
        <v>257</v>
      </c>
      <c r="B770" s="3" t="s">
        <v>588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8</v>
      </c>
    </row>
    <row r="773" spans="1:7" ht="264" customHeight="1">
      <c r="A773" s="2">
        <v>258</v>
      </c>
      <c r="B773" s="3" t="s">
        <v>589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8</v>
      </c>
    </row>
    <row r="776" spans="1:7" ht="264" customHeight="1">
      <c r="A776" s="2">
        <v>259</v>
      </c>
      <c r="B776" s="3" t="s">
        <v>590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8</v>
      </c>
    </row>
    <row r="779" spans="1:7" ht="264" customHeight="1">
      <c r="A779" s="2">
        <v>260</v>
      </c>
      <c r="B779" s="3" t="s">
        <v>591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8</v>
      </c>
    </row>
    <row r="782" spans="1:7" ht="264" customHeight="1">
      <c r="A782" s="2">
        <v>261</v>
      </c>
      <c r="B782" s="3" t="s">
        <v>592</v>
      </c>
      <c r="C782">
        <f>IMAGE("https://raw.githubusercontent.com/stautonico/tcg-livingdex/main/images/261/1.png", 2)</f>
        <v>0</v>
      </c>
      <c r="D782">
        <f>IMAGE("https://raw.githubusercontent.com/stautonico/tcg-livingdex/main/images/261/2.png", 2)</f>
        <v>0</v>
      </c>
      <c r="E782">
        <f>IMAGE("https://raw.githubusercontent.com/stautonico/tcg-livingdex/main/images/261/3.png", 2)</f>
        <v>0</v>
      </c>
      <c r="F782">
        <f>IMAGE("https://raw.githubusercontent.com/stautonico/tcg-livingdex/main/images/261/4.png", 2)</f>
        <v>0</v>
      </c>
      <c r="G782" t="s">
        <v>9</v>
      </c>
    </row>
    <row r="783" spans="1:7">
      <c r="C783" s="4" t="s">
        <v>593</v>
      </c>
      <c r="D783" s="4" t="s">
        <v>594</v>
      </c>
      <c r="E783" s="4" t="s">
        <v>595</v>
      </c>
      <c r="F783" s="4" t="s">
        <v>596</v>
      </c>
    </row>
    <row r="785" spans="1:7" ht="264" customHeight="1">
      <c r="A785" s="2">
        <v>262</v>
      </c>
      <c r="B785" s="3" t="s">
        <v>597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8</v>
      </c>
    </row>
    <row r="788" spans="1:7" ht="264" customHeight="1">
      <c r="A788" s="2">
        <v>263</v>
      </c>
      <c r="B788" s="3" t="s">
        <v>598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8</v>
      </c>
    </row>
    <row r="791" spans="1:7" ht="264" customHeight="1">
      <c r="A791" s="2">
        <v>264</v>
      </c>
      <c r="B791" s="3" t="s">
        <v>599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8</v>
      </c>
    </row>
    <row r="794" spans="1:7" ht="264" customHeight="1">
      <c r="A794" s="2">
        <v>265</v>
      </c>
      <c r="B794" s="3" t="s">
        <v>600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8</v>
      </c>
    </row>
    <row r="797" spans="1:7" ht="264" customHeight="1">
      <c r="A797" s="2">
        <v>266</v>
      </c>
      <c r="B797" s="3" t="s">
        <v>601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8</v>
      </c>
    </row>
    <row r="800" spans="1:7" ht="264" customHeight="1">
      <c r="A800" s="2">
        <v>267</v>
      </c>
      <c r="B800" s="3" t="s">
        <v>602</v>
      </c>
      <c r="C800">
        <f>IMAGE("https://raw.githubusercontent.com/stautonico/tcg-livingdex/main/images/267/1.png", 2)</f>
        <v>0</v>
      </c>
      <c r="D800">
        <f>IMAGE("https://raw.githubusercontent.com/stautonico/tcg-livingdex/main/images/267/2.png", 2)</f>
        <v>0</v>
      </c>
      <c r="E800">
        <f>IMAGE("https://raw.githubusercontent.com/stautonico/tcg-livingdex/main/images/267/3.png", 2)</f>
        <v>0</v>
      </c>
      <c r="F800">
        <f>IMAGE("https://raw.githubusercontent.com/stautonico/tcg-livingdex/main/images/267/4.png", 2)</f>
        <v>0</v>
      </c>
      <c r="G800" t="s">
        <v>9</v>
      </c>
    </row>
    <row r="801" spans="1:7">
      <c r="C801" s="4" t="s">
        <v>603</v>
      </c>
      <c r="D801" s="4" t="s">
        <v>604</v>
      </c>
      <c r="E801" s="4" t="s">
        <v>605</v>
      </c>
      <c r="F801" s="4" t="s">
        <v>606</v>
      </c>
    </row>
    <row r="803" spans="1:7" ht="264" customHeight="1">
      <c r="A803" s="2">
        <v>268</v>
      </c>
      <c r="B803" s="3" t="s">
        <v>607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8</v>
      </c>
    </row>
    <row r="806" spans="1:7" ht="264" customHeight="1">
      <c r="A806" s="2">
        <v>269</v>
      </c>
      <c r="B806" s="3" t="s">
        <v>608</v>
      </c>
      <c r="C806">
        <f>IMAGE("https://raw.githubusercontent.com/stautonico/tcg-livingdex/main/images/269/1.png", 2)</f>
        <v>0</v>
      </c>
      <c r="D806">
        <f>IMAGE("https://raw.githubusercontent.com/stautonico/tcg-livingdex/main/images/269/2.png", 2)</f>
        <v>0</v>
      </c>
      <c r="E806">
        <f>IMAGE("https://raw.githubusercontent.com/stautonico/tcg-livingdex/main/images/269/3.png", 2)</f>
        <v>0</v>
      </c>
      <c r="F806">
        <f>IMAGE("https://raw.githubusercontent.com/stautonico/tcg-livingdex/main/images/269/4.png", 2)</f>
        <v>0</v>
      </c>
      <c r="G806" t="s">
        <v>9</v>
      </c>
    </row>
    <row r="807" spans="1:7">
      <c r="C807" s="4" t="s">
        <v>609</v>
      </c>
      <c r="D807" s="4" t="s">
        <v>610</v>
      </c>
      <c r="E807" s="4" t="s">
        <v>611</v>
      </c>
      <c r="F807" s="4" t="s">
        <v>612</v>
      </c>
    </row>
    <row r="809" spans="1:7" ht="264" customHeight="1">
      <c r="A809" s="2">
        <v>270</v>
      </c>
      <c r="B809" s="3" t="s">
        <v>613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8</v>
      </c>
    </row>
    <row r="812" spans="1:7" ht="264" customHeight="1">
      <c r="A812" s="2">
        <v>271</v>
      </c>
      <c r="B812" s="3" t="s">
        <v>614</v>
      </c>
      <c r="C812">
        <f>IMAGE("https://raw.githubusercontent.com/stautonico/tcg-livingdex/main/images/271/1.png", 2)</f>
        <v>0</v>
      </c>
      <c r="D812">
        <f>IMAGE("https://raw.githubusercontent.com/stautonico/tcg-livingdex/main/images/271/2.png", 2)</f>
        <v>0</v>
      </c>
      <c r="E812">
        <f>IMAGE("https://raw.githubusercontent.com/stautonico/tcg-livingdex/main/images/271/3.png", 2)</f>
        <v>0</v>
      </c>
      <c r="F812">
        <f>IMAGE("https://raw.githubusercontent.com/stautonico/tcg-livingdex/main/images/271/4.png", 2)</f>
        <v>0</v>
      </c>
      <c r="G812" t="s">
        <v>9</v>
      </c>
    </row>
    <row r="813" spans="1:7">
      <c r="C813" s="4" t="s">
        <v>615</v>
      </c>
      <c r="D813" s="4" t="s">
        <v>616</v>
      </c>
      <c r="E813" s="4" t="s">
        <v>617</v>
      </c>
      <c r="F813" s="4" t="s">
        <v>618</v>
      </c>
    </row>
    <row r="815" spans="1:7" ht="264" customHeight="1">
      <c r="A815" s="2">
        <v>272</v>
      </c>
      <c r="B815" s="3" t="s">
        <v>619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8</v>
      </c>
    </row>
    <row r="818" spans="1:7" ht="264" customHeight="1">
      <c r="A818" s="2">
        <v>273</v>
      </c>
      <c r="B818" s="3" t="s">
        <v>620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8</v>
      </c>
    </row>
    <row r="821" spans="1:7" ht="264" customHeight="1">
      <c r="A821" s="2">
        <v>274</v>
      </c>
      <c r="B821" s="3" t="s">
        <v>621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8</v>
      </c>
    </row>
    <row r="824" spans="1:7" ht="264" customHeight="1">
      <c r="A824" s="2">
        <v>275</v>
      </c>
      <c r="B824" s="3" t="s">
        <v>622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8</v>
      </c>
    </row>
    <row r="827" spans="1:7" ht="264" customHeight="1">
      <c r="A827" s="2">
        <v>276</v>
      </c>
      <c r="B827" s="3" t="s">
        <v>623</v>
      </c>
      <c r="C827">
        <f>IMAGE("https://raw.githubusercontent.com/stautonico/tcg-livingdex/main/images/276/1.png", 2)</f>
        <v>0</v>
      </c>
      <c r="D827">
        <f>IMAGE("https://raw.githubusercontent.com/stautonico/tcg-livingdex/main/images/276/2.png", 2)</f>
        <v>0</v>
      </c>
      <c r="E827">
        <f>IMAGE("https://raw.githubusercontent.com/stautonico/tcg-livingdex/main/images/276/3.png", 2)</f>
        <v>0</v>
      </c>
      <c r="F827">
        <f>IMAGE("https://raw.githubusercontent.com/stautonico/tcg-livingdex/main/images/276/4.png", 2)</f>
        <v>0</v>
      </c>
      <c r="G827" t="s">
        <v>9</v>
      </c>
    </row>
    <row r="828" spans="1:7">
      <c r="C828" s="4" t="s">
        <v>624</v>
      </c>
      <c r="D828" s="4" t="s">
        <v>625</v>
      </c>
      <c r="E828" s="4" t="s">
        <v>626</v>
      </c>
      <c r="F828" s="4" t="s">
        <v>627</v>
      </c>
    </row>
    <row r="830" spans="1:7" ht="264" customHeight="1">
      <c r="A830" s="2">
        <v>277</v>
      </c>
      <c r="B830" s="3" t="s">
        <v>628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8</v>
      </c>
    </row>
    <row r="833" spans="1:7" ht="264" customHeight="1">
      <c r="A833" s="2">
        <v>278</v>
      </c>
      <c r="B833" s="3" t="s">
        <v>629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8</v>
      </c>
    </row>
    <row r="836" spans="1:7" ht="264" customHeight="1">
      <c r="A836" s="2">
        <v>279</v>
      </c>
      <c r="B836" s="3" t="s">
        <v>630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8</v>
      </c>
    </row>
    <row r="839" spans="1:7" ht="264" customHeight="1">
      <c r="A839" s="2">
        <v>280</v>
      </c>
      <c r="B839" s="3" t="s">
        <v>631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8</v>
      </c>
    </row>
    <row r="842" spans="1:7" ht="264" customHeight="1">
      <c r="A842" s="2">
        <v>281</v>
      </c>
      <c r="B842" s="3" t="s">
        <v>632</v>
      </c>
      <c r="C842">
        <f>IMAGE("https://raw.githubusercontent.com/stautonico/tcg-livingdex/main/images/281/1.png", 2)</f>
        <v>0</v>
      </c>
      <c r="D842">
        <f>IMAGE("https://raw.githubusercontent.com/stautonico/tcg-livingdex/main/images/281/2.png", 2)</f>
        <v>0</v>
      </c>
      <c r="E842">
        <f>IMAGE("https://raw.githubusercontent.com/stautonico/tcg-livingdex/main/images/281/3.png", 2)</f>
        <v>0</v>
      </c>
      <c r="F842">
        <f>IMAGE("https://raw.githubusercontent.com/stautonico/tcg-livingdex/main/images/281/4.png", 2)</f>
        <v>0</v>
      </c>
      <c r="G842" t="s">
        <v>9</v>
      </c>
    </row>
    <row r="843" spans="1:7">
      <c r="C843" s="4" t="s">
        <v>633</v>
      </c>
      <c r="D843" s="4" t="s">
        <v>634</v>
      </c>
      <c r="E843" s="4" t="s">
        <v>635</v>
      </c>
      <c r="F843" s="4" t="s">
        <v>636</v>
      </c>
    </row>
    <row r="845" spans="1:7" ht="264" customHeight="1">
      <c r="A845" s="2">
        <v>282</v>
      </c>
      <c r="B845" s="3" t="s">
        <v>637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8</v>
      </c>
    </row>
    <row r="848" spans="1:7" ht="264" customHeight="1">
      <c r="A848" s="2">
        <v>283</v>
      </c>
      <c r="B848" s="3" t="s">
        <v>638</v>
      </c>
      <c r="C848">
        <f>IMAGE("https://raw.githubusercontent.com/stautonico/tcg-livingdex/main/images/283/1.png", 2)</f>
        <v>0</v>
      </c>
      <c r="D848">
        <f>IMAGE("https://raw.githubusercontent.com/stautonico/tcg-livingdex/main/images/283/2.png", 2)</f>
        <v>0</v>
      </c>
      <c r="E848">
        <f>IMAGE("https://raw.githubusercontent.com/stautonico/tcg-livingdex/main/images/283/3.png", 2)</f>
        <v>0</v>
      </c>
      <c r="F848">
        <f>IMAGE("https://raw.githubusercontent.com/stautonico/tcg-livingdex/main/images/283/4.png", 2)</f>
        <v>0</v>
      </c>
      <c r="G848" t="s">
        <v>9</v>
      </c>
    </row>
    <row r="849" spans="1:7">
      <c r="C849" s="4" t="s">
        <v>639</v>
      </c>
      <c r="D849" s="4" t="s">
        <v>640</v>
      </c>
      <c r="E849" s="4" t="s">
        <v>641</v>
      </c>
      <c r="F849" s="4" t="s">
        <v>642</v>
      </c>
    </row>
    <row r="851" spans="1:7" ht="264" customHeight="1">
      <c r="A851" s="2">
        <v>284</v>
      </c>
      <c r="B851" s="3" t="s">
        <v>643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8</v>
      </c>
    </row>
    <row r="854" spans="1:7" ht="264" customHeight="1">
      <c r="A854" s="2">
        <v>285</v>
      </c>
      <c r="B854" s="3" t="s">
        <v>644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8</v>
      </c>
    </row>
    <row r="857" spans="1:7" ht="264" customHeight="1">
      <c r="A857" s="2">
        <v>286</v>
      </c>
      <c r="B857" s="3" t="s">
        <v>645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8</v>
      </c>
    </row>
    <row r="860" spans="1:7" ht="264" customHeight="1">
      <c r="A860" s="2">
        <v>287</v>
      </c>
      <c r="B860" s="3" t="s">
        <v>646</v>
      </c>
      <c r="C860">
        <f>IMAGE("https://raw.githubusercontent.com/stautonico/tcg-livingdex/main/images/287/1.png", 2)</f>
        <v>0</v>
      </c>
      <c r="D860">
        <f>IMAGE("https://raw.githubusercontent.com/stautonico/tcg-livingdex/main/images/287/2.png", 2)</f>
        <v>0</v>
      </c>
      <c r="E860">
        <f>IMAGE("https://raw.githubusercontent.com/stautonico/tcg-livingdex/main/images/287/3.png", 2)</f>
        <v>0</v>
      </c>
      <c r="F860">
        <f>IMAGE("https://raw.githubusercontent.com/stautonico/tcg-livingdex/main/images/287/4.png", 2)</f>
        <v>0</v>
      </c>
      <c r="G860" t="s">
        <v>9</v>
      </c>
    </row>
    <row r="861" spans="1:7">
      <c r="C861" s="4" t="s">
        <v>647</v>
      </c>
      <c r="D861" s="4" t="s">
        <v>648</v>
      </c>
      <c r="E861" s="4" t="s">
        <v>649</v>
      </c>
      <c r="F861" s="4" t="s">
        <v>650</v>
      </c>
    </row>
    <row r="863" spans="1:7" ht="264" customHeight="1">
      <c r="A863" s="2">
        <v>288</v>
      </c>
      <c r="B863" s="3" t="s">
        <v>651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8</v>
      </c>
    </row>
    <row r="866" spans="1:7" ht="264" customHeight="1">
      <c r="A866" s="2">
        <v>289</v>
      </c>
      <c r="B866" s="3" t="s">
        <v>652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8</v>
      </c>
    </row>
    <row r="869" spans="1:7" ht="264" customHeight="1">
      <c r="A869" s="2">
        <v>290</v>
      </c>
      <c r="B869" s="3" t="s">
        <v>653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8</v>
      </c>
    </row>
    <row r="872" spans="1:7" ht="264" customHeight="1">
      <c r="A872" s="2">
        <v>291</v>
      </c>
      <c r="B872" s="3" t="s">
        <v>654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8</v>
      </c>
    </row>
    <row r="875" spans="1:7" ht="264" customHeight="1">
      <c r="A875" s="2">
        <v>292</v>
      </c>
      <c r="B875" s="3" t="s">
        <v>655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8</v>
      </c>
    </row>
    <row r="878" spans="1:7" ht="264" customHeight="1">
      <c r="A878" s="2">
        <v>293</v>
      </c>
      <c r="B878" s="3" t="s">
        <v>656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8</v>
      </c>
    </row>
    <row r="881" spans="1:7" ht="264" customHeight="1">
      <c r="A881" s="2">
        <v>294</v>
      </c>
      <c r="B881" s="3" t="s">
        <v>657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658</v>
      </c>
    </row>
    <row r="884" spans="1:7" ht="264" customHeight="1">
      <c r="A884" s="2">
        <v>295</v>
      </c>
      <c r="B884" s="3" t="s">
        <v>659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8</v>
      </c>
    </row>
    <row r="887" spans="1:7" ht="264" customHeight="1">
      <c r="A887" s="2">
        <v>296</v>
      </c>
      <c r="B887" s="3" t="s">
        <v>660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8</v>
      </c>
    </row>
    <row r="890" spans="1:7" ht="264" customHeight="1">
      <c r="A890" s="2">
        <v>297</v>
      </c>
      <c r="B890" s="3" t="s">
        <v>661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8</v>
      </c>
    </row>
    <row r="893" spans="1:7" ht="264" customHeight="1">
      <c r="A893" s="2">
        <v>298</v>
      </c>
      <c r="B893" s="3" t="s">
        <v>662</v>
      </c>
      <c r="C893">
        <f>IMAGE("https://raw.githubusercontent.com/stautonico/tcg-livingdex/main/images/298/1.png", 2)</f>
        <v>0</v>
      </c>
      <c r="D893">
        <f>IMAGE("https://raw.githubusercontent.com/stautonico/tcg-livingdex/main/images/298/2.png", 2)</f>
        <v>0</v>
      </c>
      <c r="E893">
        <f>IMAGE("https://raw.githubusercontent.com/stautonico/tcg-livingdex/main/images/298/3.png", 2)</f>
        <v>0</v>
      </c>
      <c r="F893">
        <f>IMAGE("https://raw.githubusercontent.com/stautonico/tcg-livingdex/main/images/298/4.png", 2)</f>
        <v>0</v>
      </c>
      <c r="G893" t="s">
        <v>9</v>
      </c>
    </row>
    <row r="894" spans="1:7">
      <c r="C894" s="4" t="s">
        <v>663</v>
      </c>
      <c r="D894" s="4" t="s">
        <v>664</v>
      </c>
      <c r="E894" s="4" t="s">
        <v>665</v>
      </c>
      <c r="F894" s="4" t="s">
        <v>666</v>
      </c>
    </row>
    <row r="896" spans="1:7" ht="264" customHeight="1">
      <c r="A896" s="2">
        <v>299</v>
      </c>
      <c r="B896" s="3" t="s">
        <v>667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8</v>
      </c>
    </row>
    <row r="899" spans="1:7" ht="264" customHeight="1">
      <c r="A899" s="2">
        <v>300</v>
      </c>
      <c r="B899" s="3" t="s">
        <v>668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8</v>
      </c>
    </row>
    <row r="902" spans="1:7" ht="264" customHeight="1">
      <c r="A902" s="2">
        <v>301</v>
      </c>
      <c r="B902" s="3" t="s">
        <v>669</v>
      </c>
      <c r="C902">
        <f>IMAGE("https://raw.githubusercontent.com/stautonico/tcg-livingdex/main/images/301/1.png", 2)</f>
        <v>0</v>
      </c>
      <c r="D902">
        <f>IMAGE("https://raw.githubusercontent.com/stautonico/tcg-livingdex/main/images/301/2.png", 2)</f>
        <v>0</v>
      </c>
      <c r="E902">
        <f>IMAGE("https://raw.githubusercontent.com/stautonico/tcg-livingdex/main/images/301/3.png", 2)</f>
        <v>0</v>
      </c>
      <c r="F902">
        <f>IMAGE("https://raw.githubusercontent.com/stautonico/tcg-livingdex/main/images/301/4.png", 2)</f>
        <v>0</v>
      </c>
      <c r="G902" t="s">
        <v>9</v>
      </c>
    </row>
    <row r="903" spans="1:7">
      <c r="C903" s="4" t="s">
        <v>670</v>
      </c>
      <c r="D903" s="4" t="s">
        <v>671</v>
      </c>
      <c r="E903" s="4" t="s">
        <v>672</v>
      </c>
      <c r="F903" s="4" t="s">
        <v>673</v>
      </c>
    </row>
    <row r="905" spans="1:7" ht="264" customHeight="1">
      <c r="A905" s="2">
        <v>302</v>
      </c>
      <c r="B905" s="3" t="s">
        <v>674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8</v>
      </c>
    </row>
    <row r="908" spans="1:7" ht="264" customHeight="1">
      <c r="A908" s="2">
        <v>303</v>
      </c>
      <c r="B908" s="3" t="s">
        <v>675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8</v>
      </c>
    </row>
    <row r="911" spans="1:7" ht="264" customHeight="1">
      <c r="A911" s="2">
        <v>304</v>
      </c>
      <c r="B911" s="3" t="s">
        <v>676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8</v>
      </c>
    </row>
    <row r="914" spans="1:7" ht="264" customHeight="1">
      <c r="A914" s="2">
        <v>305</v>
      </c>
      <c r="B914" s="3" t="s">
        <v>677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8</v>
      </c>
    </row>
    <row r="917" spans="1:7" ht="264" customHeight="1">
      <c r="A917" s="2">
        <v>306</v>
      </c>
      <c r="B917" s="3" t="s">
        <v>678</v>
      </c>
      <c r="C917">
        <f>IMAGE("https://raw.githubusercontent.com/stautonico/tcg-livingdex/main/images/306/1.png", 2)</f>
        <v>0</v>
      </c>
      <c r="D917">
        <f>IMAGE("https://raw.githubusercontent.com/stautonico/tcg-livingdex/main/images/306/2.png", 2)</f>
        <v>0</v>
      </c>
      <c r="E917">
        <f>IMAGE("https://raw.githubusercontent.com/stautonico/tcg-livingdex/main/images/306/3.png", 2)</f>
        <v>0</v>
      </c>
      <c r="F917">
        <f>IMAGE("https://raw.githubusercontent.com/stautonico/tcg-livingdex/main/images/306/4.png", 2)</f>
        <v>0</v>
      </c>
      <c r="G917" t="s">
        <v>9</v>
      </c>
    </row>
    <row r="918" spans="1:7">
      <c r="C918" s="4" t="s">
        <v>679</v>
      </c>
      <c r="D918" s="4" t="s">
        <v>680</v>
      </c>
      <c r="E918" s="4" t="s">
        <v>681</v>
      </c>
      <c r="F918" s="4" t="s">
        <v>682</v>
      </c>
    </row>
    <row r="920" spans="1:7" ht="264" customHeight="1">
      <c r="A920" s="2">
        <v>307</v>
      </c>
      <c r="B920" s="3" t="s">
        <v>683</v>
      </c>
      <c r="C920">
        <f>IMAGE("https://raw.githubusercontent.com/stautonico/tcg-livingdex/main/images/307/1.png", 2)</f>
        <v>0</v>
      </c>
      <c r="D920">
        <f>IMAGE("https://raw.githubusercontent.com/stautonico/tcg-livingdex/main/images/307/2.png", 2)</f>
        <v>0</v>
      </c>
      <c r="E920">
        <f>IMAGE("https://raw.githubusercontent.com/stautonico/tcg-livingdex/main/images/307/3.png", 2)</f>
        <v>0</v>
      </c>
      <c r="F920">
        <f>IMAGE("https://raw.githubusercontent.com/stautonico/tcg-livingdex/main/images/307/4.png", 2)</f>
        <v>0</v>
      </c>
      <c r="G920" t="s">
        <v>9</v>
      </c>
    </row>
    <row r="921" spans="1:7">
      <c r="C921" s="4" t="s">
        <v>684</v>
      </c>
      <c r="D921" s="4" t="s">
        <v>685</v>
      </c>
      <c r="E921" s="4" t="s">
        <v>686</v>
      </c>
      <c r="F921" s="4" t="s">
        <v>687</v>
      </c>
    </row>
    <row r="923" spans="1:7" ht="264" customHeight="1">
      <c r="A923" s="2">
        <v>308</v>
      </c>
      <c r="B923" s="3" t="s">
        <v>688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8</v>
      </c>
    </row>
    <row r="926" spans="1:7" ht="264" customHeight="1">
      <c r="A926" s="2">
        <v>309</v>
      </c>
      <c r="B926" s="3" t="s">
        <v>689</v>
      </c>
      <c r="C926">
        <f>IMAGE("https://raw.githubusercontent.com/stautonico/tcg-livingdex/main/images/309/1.png", 2)</f>
        <v>0</v>
      </c>
      <c r="D926">
        <f>IMAGE("https://raw.githubusercontent.com/stautonico/tcg-livingdex/main/images/309/2.png", 2)</f>
        <v>0</v>
      </c>
      <c r="E926">
        <f>IMAGE("https://raw.githubusercontent.com/stautonico/tcg-livingdex/main/images/309/3.png", 2)</f>
        <v>0</v>
      </c>
      <c r="F926">
        <f>IMAGE("https://raw.githubusercontent.com/stautonico/tcg-livingdex/main/images/309/4.png", 2)</f>
        <v>0</v>
      </c>
      <c r="G926" t="s">
        <v>9</v>
      </c>
    </row>
    <row r="927" spans="1:7">
      <c r="C927" s="4" t="s">
        <v>690</v>
      </c>
      <c r="D927" s="4" t="s">
        <v>691</v>
      </c>
      <c r="E927" s="4" t="s">
        <v>692</v>
      </c>
      <c r="F927" s="4" t="s">
        <v>693</v>
      </c>
    </row>
    <row r="929" spans="1:7" ht="264" customHeight="1">
      <c r="A929" s="2">
        <v>310</v>
      </c>
      <c r="B929" s="3" t="s">
        <v>694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8</v>
      </c>
    </row>
    <row r="932" spans="1:7" ht="264" customHeight="1">
      <c r="A932" s="2">
        <v>311</v>
      </c>
      <c r="B932" s="3" t="s">
        <v>695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8</v>
      </c>
    </row>
    <row r="935" spans="1:7" ht="264" customHeight="1">
      <c r="A935" s="2">
        <v>312</v>
      </c>
      <c r="B935" s="3" t="s">
        <v>696</v>
      </c>
      <c r="C935">
        <f>IMAGE("https://raw.githubusercontent.com/stautonico/tcg-livingdex/main/images/312/1.png", 2)</f>
        <v>0</v>
      </c>
      <c r="D935">
        <f>IMAGE("https://raw.githubusercontent.com/stautonico/tcg-livingdex/main/images/312/2.png", 2)</f>
        <v>0</v>
      </c>
      <c r="E935">
        <f>IMAGE("https://raw.githubusercontent.com/stautonico/tcg-livingdex/main/images/312/3.png", 2)</f>
        <v>0</v>
      </c>
      <c r="F935">
        <f>IMAGE("https://raw.githubusercontent.com/stautonico/tcg-livingdex/main/images/312/4.png", 2)</f>
        <v>0</v>
      </c>
      <c r="G935" t="s">
        <v>9</v>
      </c>
    </row>
    <row r="936" spans="1:7">
      <c r="C936" s="4" t="s">
        <v>697</v>
      </c>
      <c r="D936" s="4" t="s">
        <v>698</v>
      </c>
      <c r="E936" s="4" t="s">
        <v>699</v>
      </c>
      <c r="F936" s="4" t="s">
        <v>700</v>
      </c>
    </row>
    <row r="938" spans="1:7" ht="264" customHeight="1">
      <c r="A938" s="2">
        <v>313</v>
      </c>
      <c r="B938" s="3" t="s">
        <v>701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8</v>
      </c>
    </row>
    <row r="941" spans="1:7" ht="264" customHeight="1">
      <c r="A941" s="2">
        <v>314</v>
      </c>
      <c r="B941" s="3" t="s">
        <v>702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8</v>
      </c>
    </row>
    <row r="944" spans="1:7" ht="264" customHeight="1">
      <c r="A944" s="2">
        <v>315</v>
      </c>
      <c r="B944" s="3" t="s">
        <v>703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8</v>
      </c>
    </row>
    <row r="947" spans="1:7" ht="264" customHeight="1">
      <c r="A947" s="2">
        <v>316</v>
      </c>
      <c r="B947" s="3" t="s">
        <v>704</v>
      </c>
      <c r="C947">
        <f>IMAGE("https://raw.githubusercontent.com/stautonico/tcg-livingdex/main/images/316/1.png", 2)</f>
        <v>0</v>
      </c>
      <c r="D947">
        <f>IMAGE("https://raw.githubusercontent.com/stautonico/tcg-livingdex/main/images/316/2.png", 2)</f>
        <v>0</v>
      </c>
      <c r="E947">
        <f>IMAGE("https://raw.githubusercontent.com/stautonico/tcg-livingdex/main/images/316/3.png", 2)</f>
        <v>0</v>
      </c>
      <c r="F947">
        <f>IMAGE("https://raw.githubusercontent.com/stautonico/tcg-livingdex/main/images/316/4.png", 2)</f>
        <v>0</v>
      </c>
      <c r="G947" t="s">
        <v>9</v>
      </c>
    </row>
    <row r="948" spans="1:7">
      <c r="C948" s="4" t="s">
        <v>705</v>
      </c>
      <c r="D948" s="4" t="s">
        <v>706</v>
      </c>
      <c r="E948" s="4" t="s">
        <v>707</v>
      </c>
      <c r="F948" s="4" t="s">
        <v>708</v>
      </c>
    </row>
    <row r="950" spans="1:7" ht="264" customHeight="1">
      <c r="A950" s="2">
        <v>317</v>
      </c>
      <c r="B950" s="3" t="s">
        <v>709</v>
      </c>
      <c r="C950">
        <f>IMAGE("https://raw.githubusercontent.com/stautonico/tcg-livingdex/main/images/317/1.png", 2)</f>
        <v>0</v>
      </c>
      <c r="D950">
        <f>IMAGE("https://raw.githubusercontent.com/stautonico/tcg-livingdex/main/images/317/2.png", 2)</f>
        <v>0</v>
      </c>
      <c r="E950">
        <f>IMAGE("https://raw.githubusercontent.com/stautonico/tcg-livingdex/main/images/317/3.png", 2)</f>
        <v>0</v>
      </c>
      <c r="F950">
        <f>IMAGE("https://raw.githubusercontent.com/stautonico/tcg-livingdex/main/images/317/4.png", 2)</f>
        <v>0</v>
      </c>
      <c r="G950" t="s">
        <v>9</v>
      </c>
    </row>
    <row r="951" spans="1:7">
      <c r="C951" s="4" t="s">
        <v>710</v>
      </c>
      <c r="D951" s="4" t="s">
        <v>711</v>
      </c>
      <c r="E951" s="4" t="s">
        <v>712</v>
      </c>
      <c r="F951" s="4" t="s">
        <v>713</v>
      </c>
    </row>
    <row r="953" spans="1:7" ht="264" customHeight="1">
      <c r="A953" s="2">
        <v>318</v>
      </c>
      <c r="B953" s="3" t="s">
        <v>714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8</v>
      </c>
    </row>
    <row r="956" spans="1:7" ht="264" customHeight="1">
      <c r="A956" s="2">
        <v>319</v>
      </c>
      <c r="B956" s="3" t="s">
        <v>715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8</v>
      </c>
    </row>
    <row r="959" spans="1:7" ht="264" customHeight="1">
      <c r="A959" s="2">
        <v>320</v>
      </c>
      <c r="B959" s="3" t="s">
        <v>716</v>
      </c>
      <c r="C959">
        <f>IMAGE("https://raw.githubusercontent.com/stautonico/tcg-livingdex/main/images/320/1.png", 2)</f>
        <v>0</v>
      </c>
      <c r="D959">
        <f>IMAGE("https://raw.githubusercontent.com/stautonico/tcg-livingdex/main/images/320/2.png", 2)</f>
        <v>0</v>
      </c>
      <c r="E959">
        <f>IMAGE("https://raw.githubusercontent.com/stautonico/tcg-livingdex/main/images/320/3.png", 2)</f>
        <v>0</v>
      </c>
      <c r="F959">
        <f>IMAGE("https://raw.githubusercontent.com/stautonico/tcg-livingdex/main/images/320/4.png", 2)</f>
        <v>0</v>
      </c>
      <c r="G959" t="s">
        <v>9</v>
      </c>
    </row>
    <row r="960" spans="1:7">
      <c r="C960" s="4" t="s">
        <v>717</v>
      </c>
      <c r="D960" s="4" t="s">
        <v>718</v>
      </c>
      <c r="E960" s="4" t="s">
        <v>719</v>
      </c>
      <c r="F960" s="4" t="s">
        <v>720</v>
      </c>
    </row>
    <row r="962" spans="1:7" ht="264" customHeight="1">
      <c r="A962" s="2">
        <v>321</v>
      </c>
      <c r="B962" s="3" t="s">
        <v>721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8</v>
      </c>
    </row>
    <row r="965" spans="1:7" ht="264" customHeight="1">
      <c r="A965" s="2">
        <v>322</v>
      </c>
      <c r="B965" s="3" t="s">
        <v>722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8</v>
      </c>
    </row>
    <row r="968" spans="1:7" ht="264" customHeight="1">
      <c r="A968" s="2">
        <v>323</v>
      </c>
      <c r="B968" s="3" t="s">
        <v>723</v>
      </c>
      <c r="C968">
        <f>IMAGE("https://raw.githubusercontent.com/stautonico/tcg-livingdex/main/images/323/1.png", 2)</f>
        <v>0</v>
      </c>
      <c r="D968">
        <f>IMAGE("https://raw.githubusercontent.com/stautonico/tcg-livingdex/main/images/323/2.png", 2)</f>
        <v>0</v>
      </c>
      <c r="E968">
        <f>IMAGE("https://raw.githubusercontent.com/stautonico/tcg-livingdex/main/images/323/3.png", 2)</f>
        <v>0</v>
      </c>
      <c r="F968">
        <f>IMAGE("https://raw.githubusercontent.com/stautonico/tcg-livingdex/main/images/323/4.png", 2)</f>
        <v>0</v>
      </c>
      <c r="G968" t="s">
        <v>9</v>
      </c>
    </row>
    <row r="969" spans="1:7">
      <c r="C969" s="4" t="s">
        <v>724</v>
      </c>
      <c r="D969" s="4" t="s">
        <v>725</v>
      </c>
      <c r="E969" s="4" t="s">
        <v>726</v>
      </c>
      <c r="F969" s="4" t="s">
        <v>727</v>
      </c>
    </row>
    <row r="971" spans="1:7" ht="264" customHeight="1">
      <c r="A971" s="2">
        <v>324</v>
      </c>
      <c r="B971" s="3" t="s">
        <v>728</v>
      </c>
      <c r="C971">
        <f>IMAGE("https://raw.githubusercontent.com/stautonico/tcg-livingdex/main/images/324/1.png", 2)</f>
        <v>0</v>
      </c>
      <c r="D971">
        <f>IMAGE("https://raw.githubusercontent.com/stautonico/tcg-livingdex/main/images/324/2.png", 2)</f>
        <v>0</v>
      </c>
      <c r="G971" t="s">
        <v>9</v>
      </c>
    </row>
    <row r="972" spans="1:7">
      <c r="C972" s="4" t="s">
        <v>729</v>
      </c>
      <c r="D972" s="4" t="s">
        <v>730</v>
      </c>
    </row>
    <row r="974" spans="1:7" ht="264" customHeight="1">
      <c r="A974" s="2">
        <v>325</v>
      </c>
      <c r="B974" s="3" t="s">
        <v>731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8</v>
      </c>
    </row>
    <row r="977" spans="1:7" ht="264" customHeight="1">
      <c r="A977" s="2">
        <v>326</v>
      </c>
      <c r="B977" s="3" t="s">
        <v>732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8</v>
      </c>
    </row>
    <row r="980" spans="1:7" ht="264" customHeight="1">
      <c r="A980" s="2">
        <v>327</v>
      </c>
      <c r="B980" s="3" t="s">
        <v>733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8</v>
      </c>
    </row>
    <row r="983" spans="1:7" ht="264" customHeight="1">
      <c r="A983" s="2">
        <v>328</v>
      </c>
      <c r="B983" s="3" t="s">
        <v>734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8</v>
      </c>
    </row>
    <row r="986" spans="1:7" ht="264" customHeight="1">
      <c r="A986" s="2">
        <v>329</v>
      </c>
      <c r="B986" s="3" t="s">
        <v>735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8</v>
      </c>
    </row>
    <row r="989" spans="1:7" ht="264" customHeight="1">
      <c r="A989" s="2">
        <v>330</v>
      </c>
      <c r="B989" s="3" t="s">
        <v>736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737</v>
      </c>
    </row>
    <row r="992" spans="1:7" ht="264" customHeight="1">
      <c r="A992" s="2">
        <v>331</v>
      </c>
      <c r="B992" s="3" t="s">
        <v>738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8</v>
      </c>
    </row>
    <row r="995" spans="1:7" ht="264" customHeight="1">
      <c r="A995" s="2">
        <v>332</v>
      </c>
      <c r="B995" s="3" t="s">
        <v>739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8</v>
      </c>
    </row>
    <row r="998" spans="1:7" ht="264" customHeight="1">
      <c r="A998" s="2">
        <v>333</v>
      </c>
      <c r="B998" s="3" t="s">
        <v>740</v>
      </c>
      <c r="C998">
        <f>IMAGE("https://raw.githubusercontent.com/stautonico/tcg-livingdex/main/images/333/1.png", 2)</f>
        <v>0</v>
      </c>
      <c r="D998">
        <f>IMAGE("https://raw.githubusercontent.com/stautonico/tcg-livingdex/main/images/333/2.png", 2)</f>
        <v>0</v>
      </c>
      <c r="E998">
        <f>IMAGE("https://raw.githubusercontent.com/stautonico/tcg-livingdex/main/images/333/3.png", 2)</f>
        <v>0</v>
      </c>
      <c r="F998">
        <f>IMAGE("https://raw.githubusercontent.com/stautonico/tcg-livingdex/main/images/333/4.png", 2)</f>
        <v>0</v>
      </c>
      <c r="G998" t="s">
        <v>9</v>
      </c>
    </row>
    <row r="999" spans="1:7">
      <c r="C999" s="4" t="s">
        <v>741</v>
      </c>
      <c r="D999" s="4" t="s">
        <v>742</v>
      </c>
      <c r="E999" s="4" t="s">
        <v>743</v>
      </c>
      <c r="F999" s="4" t="s">
        <v>744</v>
      </c>
    </row>
    <row r="1001" spans="1:7" ht="264" customHeight="1">
      <c r="A1001" s="2">
        <v>334</v>
      </c>
      <c r="B1001" s="3" t="s">
        <v>745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8</v>
      </c>
    </row>
    <row r="1004" spans="1:7" ht="264" customHeight="1">
      <c r="A1004" s="2">
        <v>335</v>
      </c>
      <c r="B1004" s="3" t="s">
        <v>746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8</v>
      </c>
    </row>
    <row r="1007" spans="1:7" ht="264" customHeight="1">
      <c r="A1007" s="2">
        <v>336</v>
      </c>
      <c r="B1007" s="3" t="s">
        <v>747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8</v>
      </c>
    </row>
    <row r="1010" spans="1:7" ht="264" customHeight="1">
      <c r="A1010" s="2">
        <v>337</v>
      </c>
      <c r="B1010" s="3" t="s">
        <v>748</v>
      </c>
      <c r="C1010">
        <f>IMAGE("https://raw.githubusercontent.com/stautonico/tcg-livingdex/main/images/337/1.png", 2)</f>
        <v>0</v>
      </c>
      <c r="D1010">
        <f>IMAGE("https://raw.githubusercontent.com/stautonico/tcg-livingdex/main/images/337/2.png", 2)</f>
        <v>0</v>
      </c>
      <c r="G1010" t="s">
        <v>9</v>
      </c>
    </row>
    <row r="1011" spans="1:7">
      <c r="C1011" s="4" t="s">
        <v>749</v>
      </c>
      <c r="D1011" s="4" t="s">
        <v>750</v>
      </c>
    </row>
    <row r="1013" spans="1:7" ht="264" customHeight="1">
      <c r="A1013" s="2">
        <v>338</v>
      </c>
      <c r="B1013" s="3" t="s">
        <v>751</v>
      </c>
      <c r="C1013">
        <f>IMAGE("https://raw.githubusercontent.com/stautonico/tcg-livingdex/main/images/338/1.png", 2)</f>
        <v>0</v>
      </c>
      <c r="D1013">
        <f>IMAGE("https://raw.githubusercontent.com/stautonico/tcg-livingdex/main/images/338/2.png", 2)</f>
        <v>0</v>
      </c>
      <c r="E1013">
        <f>IMAGE("https://raw.githubusercontent.com/stautonico/tcg-livingdex/main/images/338/3.png", 2)</f>
        <v>0</v>
      </c>
      <c r="F1013">
        <f>IMAGE("https://raw.githubusercontent.com/stautonico/tcg-livingdex/main/images/338/4.png", 2)</f>
        <v>0</v>
      </c>
      <c r="G1013" t="s">
        <v>9</v>
      </c>
    </row>
    <row r="1014" spans="1:7">
      <c r="C1014" s="4" t="s">
        <v>752</v>
      </c>
      <c r="D1014" s="4" t="s">
        <v>753</v>
      </c>
      <c r="E1014" s="4" t="s">
        <v>754</v>
      </c>
      <c r="F1014" s="4" t="s">
        <v>755</v>
      </c>
    </row>
    <row r="1016" spans="1:7" ht="264" customHeight="1">
      <c r="A1016" s="2">
        <v>339</v>
      </c>
      <c r="B1016" s="3" t="s">
        <v>756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8</v>
      </c>
    </row>
    <row r="1019" spans="1:7" ht="264" customHeight="1">
      <c r="A1019" s="2">
        <v>340</v>
      </c>
      <c r="B1019" s="3" t="s">
        <v>757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8</v>
      </c>
    </row>
    <row r="1022" spans="1:7" ht="264" customHeight="1">
      <c r="A1022" s="2">
        <v>341</v>
      </c>
      <c r="B1022" s="3" t="s">
        <v>758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8</v>
      </c>
    </row>
    <row r="1025" spans="1:7" ht="264" customHeight="1">
      <c r="A1025" s="2">
        <v>342</v>
      </c>
      <c r="B1025" s="3" t="s">
        <v>759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8</v>
      </c>
    </row>
    <row r="1028" spans="1:7" ht="264" customHeight="1">
      <c r="A1028" s="2">
        <v>343</v>
      </c>
      <c r="B1028" s="3" t="s">
        <v>760</v>
      </c>
      <c r="C1028">
        <f>IMAGE("https://raw.githubusercontent.com/stautonico/tcg-livingdex/main/images/343/1.png", 2)</f>
        <v>0</v>
      </c>
      <c r="D1028">
        <f>IMAGE("https://raw.githubusercontent.com/stautonico/tcg-livingdex/main/images/343/2.png", 2)</f>
        <v>0</v>
      </c>
      <c r="E1028">
        <f>IMAGE("https://raw.githubusercontent.com/stautonico/tcg-livingdex/main/images/343/3.png", 2)</f>
        <v>0</v>
      </c>
      <c r="F1028">
        <f>IMAGE("https://raw.githubusercontent.com/stautonico/tcg-livingdex/main/images/343/4.png", 2)</f>
        <v>0</v>
      </c>
      <c r="G1028" t="s">
        <v>9</v>
      </c>
    </row>
    <row r="1029" spans="1:7">
      <c r="C1029" s="4" t="s">
        <v>761</v>
      </c>
      <c r="D1029" s="4" t="s">
        <v>762</v>
      </c>
      <c r="E1029" s="4" t="s">
        <v>763</v>
      </c>
      <c r="F1029" s="4" t="s">
        <v>764</v>
      </c>
    </row>
    <row r="1031" spans="1:7" ht="264" customHeight="1">
      <c r="A1031" s="2">
        <v>344</v>
      </c>
      <c r="B1031" s="3" t="s">
        <v>765</v>
      </c>
      <c r="C1031">
        <f>IMAGE("https://raw.githubusercontent.com/stautonico/tcg-livingdex/main/images/344/1.png", 2)</f>
        <v>0</v>
      </c>
      <c r="D1031">
        <f>IMAGE("https://raw.githubusercontent.com/stautonico/tcg-livingdex/main/images/344/2.png", 2)</f>
        <v>0</v>
      </c>
      <c r="E1031">
        <f>IMAGE("https://raw.githubusercontent.com/stautonico/tcg-livingdex/main/images/344/3.png", 2)</f>
        <v>0</v>
      </c>
      <c r="F1031">
        <f>IMAGE("https://raw.githubusercontent.com/stautonico/tcg-livingdex/main/images/344/4.png", 2)</f>
        <v>0</v>
      </c>
      <c r="G1031" t="s">
        <v>9</v>
      </c>
    </row>
    <row r="1032" spans="1:7">
      <c r="C1032" s="4" t="s">
        <v>766</v>
      </c>
      <c r="D1032" s="4" t="s">
        <v>767</v>
      </c>
      <c r="E1032" s="4" t="s">
        <v>768</v>
      </c>
      <c r="F1032" s="4" t="s">
        <v>769</v>
      </c>
    </row>
    <row r="1034" spans="1:7" ht="264" customHeight="1">
      <c r="A1034" s="2">
        <v>345</v>
      </c>
      <c r="B1034" s="3" t="s">
        <v>770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8</v>
      </c>
    </row>
    <row r="1037" spans="1:7" ht="264" customHeight="1">
      <c r="A1037" s="2">
        <v>346</v>
      </c>
      <c r="B1037" s="3" t="s">
        <v>771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8</v>
      </c>
    </row>
    <row r="1040" spans="1:7" ht="264" customHeight="1">
      <c r="A1040" s="2">
        <v>347</v>
      </c>
      <c r="B1040" s="3" t="s">
        <v>772</v>
      </c>
      <c r="C1040">
        <f>IMAGE("https://raw.githubusercontent.com/stautonico/tcg-livingdex/main/images/347/1.png", 2)</f>
        <v>0</v>
      </c>
      <c r="D1040">
        <f>IMAGE("https://raw.githubusercontent.com/stautonico/tcg-livingdex/main/images/347/2.png", 2)</f>
        <v>0</v>
      </c>
      <c r="E1040">
        <f>IMAGE("https://raw.githubusercontent.com/stautonico/tcg-livingdex/main/images/347/3.png", 2)</f>
        <v>0</v>
      </c>
      <c r="F1040">
        <f>IMAGE("https://raw.githubusercontent.com/stautonico/tcg-livingdex/main/images/347/4.png", 2)</f>
        <v>0</v>
      </c>
      <c r="G1040" t="s">
        <v>9</v>
      </c>
    </row>
    <row r="1041" spans="1:7">
      <c r="C1041" s="4" t="s">
        <v>773</v>
      </c>
      <c r="D1041" s="4" t="s">
        <v>774</v>
      </c>
      <c r="E1041" s="4" t="s">
        <v>775</v>
      </c>
      <c r="F1041" s="4" t="s">
        <v>776</v>
      </c>
    </row>
    <row r="1043" spans="1:7" ht="264" customHeight="1">
      <c r="A1043" s="2">
        <v>348</v>
      </c>
      <c r="B1043" s="3" t="s">
        <v>777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8</v>
      </c>
    </row>
    <row r="1046" spans="1:7" ht="264" customHeight="1">
      <c r="A1046" s="2">
        <v>349</v>
      </c>
      <c r="B1046" s="3" t="s">
        <v>778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8</v>
      </c>
    </row>
    <row r="1049" spans="1:7" ht="264" customHeight="1">
      <c r="A1049" s="2">
        <v>350</v>
      </c>
      <c r="B1049" s="3" t="s">
        <v>779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8</v>
      </c>
    </row>
    <row r="1052" spans="1:7" ht="264" customHeight="1">
      <c r="A1052" s="2">
        <v>351</v>
      </c>
      <c r="B1052" s="3" t="s">
        <v>780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781</v>
      </c>
    </row>
    <row r="1055" spans="1:7" ht="264" customHeight="1">
      <c r="A1055" s="2">
        <v>352</v>
      </c>
      <c r="B1055" s="3" t="s">
        <v>782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8</v>
      </c>
    </row>
    <row r="1058" spans="1:7" ht="264" customHeight="1">
      <c r="A1058" s="2">
        <v>353</v>
      </c>
      <c r="B1058" s="3" t="s">
        <v>783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8</v>
      </c>
    </row>
    <row r="1061" spans="1:7" ht="264" customHeight="1">
      <c r="A1061" s="2">
        <v>354</v>
      </c>
      <c r="B1061" s="3" t="s">
        <v>784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8</v>
      </c>
    </row>
    <row r="1064" spans="1:7" ht="264" customHeight="1">
      <c r="A1064" s="2">
        <v>355</v>
      </c>
      <c r="B1064" s="3" t="s">
        <v>785</v>
      </c>
      <c r="C1064">
        <f>IMAGE("https://raw.githubusercontent.com/stautonico/tcg-livingdex/main/images/355/1.png", 2)</f>
        <v>0</v>
      </c>
      <c r="D1064">
        <f>IMAGE("https://raw.githubusercontent.com/stautonico/tcg-livingdex/main/images/355/2.png", 2)</f>
        <v>0</v>
      </c>
      <c r="E1064">
        <f>IMAGE("https://raw.githubusercontent.com/stautonico/tcg-livingdex/main/images/355/3.png", 2)</f>
        <v>0</v>
      </c>
      <c r="F1064">
        <f>IMAGE("https://raw.githubusercontent.com/stautonico/tcg-livingdex/main/images/355/4.png", 2)</f>
        <v>0</v>
      </c>
      <c r="G1064" t="s">
        <v>9</v>
      </c>
    </row>
    <row r="1065" spans="1:7">
      <c r="C1065" s="4" t="s">
        <v>786</v>
      </c>
      <c r="D1065" s="4" t="s">
        <v>787</v>
      </c>
      <c r="E1065" s="4" t="s">
        <v>788</v>
      </c>
      <c r="F1065" s="4" t="s">
        <v>789</v>
      </c>
    </row>
    <row r="1067" spans="1:7" ht="264" customHeight="1">
      <c r="A1067" s="2">
        <v>356</v>
      </c>
      <c r="B1067" s="3" t="s">
        <v>790</v>
      </c>
      <c r="C1067">
        <f>IMAGE("https://raw.githubusercontent.com/stautonico/tcg-livingdex/main/images/356/1.png", 2)</f>
        <v>0</v>
      </c>
      <c r="D1067">
        <f>IMAGE("https://raw.githubusercontent.com/stautonico/tcg-livingdex/main/images/356/2.png", 2)</f>
        <v>0</v>
      </c>
      <c r="E1067">
        <f>IMAGE("https://raw.githubusercontent.com/stautonico/tcg-livingdex/main/images/356/3.png", 2)</f>
        <v>0</v>
      </c>
      <c r="F1067">
        <f>IMAGE("https://raw.githubusercontent.com/stautonico/tcg-livingdex/main/images/356/4.png", 2)</f>
        <v>0</v>
      </c>
      <c r="G1067" t="s">
        <v>9</v>
      </c>
    </row>
    <row r="1068" spans="1:7">
      <c r="C1068" s="4" t="s">
        <v>786</v>
      </c>
      <c r="D1068" s="4" t="s">
        <v>791</v>
      </c>
      <c r="E1068" s="4" t="s">
        <v>792</v>
      </c>
      <c r="F1068" s="4" t="s">
        <v>793</v>
      </c>
    </row>
    <row r="1070" spans="1:7" ht="264" customHeight="1">
      <c r="A1070" s="2">
        <v>357</v>
      </c>
      <c r="B1070" s="3" t="s">
        <v>794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8</v>
      </c>
    </row>
    <row r="1073" spans="1:7" ht="264" customHeight="1">
      <c r="A1073" s="2">
        <v>358</v>
      </c>
      <c r="B1073" s="3" t="s">
        <v>795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8</v>
      </c>
    </row>
    <row r="1076" spans="1:7" ht="264" customHeight="1">
      <c r="A1076" s="2">
        <v>359</v>
      </c>
      <c r="B1076" s="3" t="s">
        <v>796</v>
      </c>
      <c r="C1076">
        <f>IMAGE("https://raw.githubusercontent.com/stautonico/tcg-livingdex/main/images/359/1.png", 2)</f>
        <v>0</v>
      </c>
      <c r="D1076">
        <f>IMAGE("https://raw.githubusercontent.com/stautonico/tcg-livingdex/main/images/359/2.png", 2)</f>
        <v>0</v>
      </c>
      <c r="E1076">
        <f>IMAGE("https://raw.githubusercontent.com/stautonico/tcg-livingdex/main/images/359/3.png", 2)</f>
        <v>0</v>
      </c>
      <c r="F1076">
        <f>IMAGE("https://raw.githubusercontent.com/stautonico/tcg-livingdex/main/images/359/4.png", 2)</f>
        <v>0</v>
      </c>
      <c r="G1076" t="s">
        <v>9</v>
      </c>
    </row>
    <row r="1077" spans="1:7">
      <c r="C1077" s="4" t="s">
        <v>797</v>
      </c>
      <c r="D1077" s="4" t="s">
        <v>798</v>
      </c>
      <c r="E1077" s="4" t="s">
        <v>799</v>
      </c>
      <c r="F1077" s="4" t="s">
        <v>800</v>
      </c>
    </row>
    <row r="1079" spans="1:7" ht="264" customHeight="1">
      <c r="A1079" s="2">
        <v>360</v>
      </c>
      <c r="B1079" s="3" t="s">
        <v>801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8</v>
      </c>
    </row>
    <row r="1082" spans="1:7" ht="264" customHeight="1">
      <c r="A1082" s="2">
        <v>361</v>
      </c>
      <c r="B1082" s="3" t="s">
        <v>802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8</v>
      </c>
    </row>
    <row r="1085" spans="1:7" ht="264" customHeight="1">
      <c r="A1085" s="2">
        <v>362</v>
      </c>
      <c r="B1085" s="3" t="s">
        <v>803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8</v>
      </c>
    </row>
    <row r="1088" spans="1:7" ht="264" customHeight="1">
      <c r="A1088" s="2">
        <v>363</v>
      </c>
      <c r="B1088" s="3" t="s">
        <v>804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8</v>
      </c>
    </row>
    <row r="1091" spans="1:7" ht="264" customHeight="1">
      <c r="A1091" s="2">
        <v>364</v>
      </c>
      <c r="B1091" s="3" t="s">
        <v>805</v>
      </c>
      <c r="C1091">
        <f>IMAGE("https://raw.githubusercontent.com/stautonico/tcg-livingdex/main/images/364/1.png", 2)</f>
        <v>0</v>
      </c>
      <c r="D1091">
        <f>IMAGE("https://raw.githubusercontent.com/stautonico/tcg-livingdex/main/images/364/2.png", 2)</f>
        <v>0</v>
      </c>
      <c r="E1091">
        <f>IMAGE("https://raw.githubusercontent.com/stautonico/tcg-livingdex/main/images/364/3.png", 2)</f>
        <v>0</v>
      </c>
      <c r="F1091">
        <f>IMAGE("https://raw.githubusercontent.com/stautonico/tcg-livingdex/main/images/364/4.png", 2)</f>
        <v>0</v>
      </c>
      <c r="G1091" t="s">
        <v>9</v>
      </c>
    </row>
    <row r="1092" spans="1:7">
      <c r="C1092" s="4" t="s">
        <v>806</v>
      </c>
      <c r="D1092" s="4" t="s">
        <v>807</v>
      </c>
      <c r="E1092" s="4" t="s">
        <v>808</v>
      </c>
      <c r="F1092" s="4" t="s">
        <v>809</v>
      </c>
    </row>
    <row r="1094" spans="1:7" ht="264" customHeight="1">
      <c r="A1094" s="2">
        <v>365</v>
      </c>
      <c r="B1094" s="3" t="s">
        <v>810</v>
      </c>
      <c r="C1094">
        <f>IMAGE("https://raw.githubusercontent.com/stautonico/tcg-livingdex/main/images/365/1.png", 2)</f>
        <v>0</v>
      </c>
      <c r="D1094">
        <f>IMAGE("https://raw.githubusercontent.com/stautonico/tcg-livingdex/main/images/365/2.png", 2)</f>
        <v>0</v>
      </c>
      <c r="E1094">
        <f>IMAGE("https://raw.githubusercontent.com/stautonico/tcg-livingdex/main/images/365/3.png", 2)</f>
        <v>0</v>
      </c>
      <c r="F1094">
        <f>IMAGE("https://raw.githubusercontent.com/stautonico/tcg-livingdex/main/images/365/4.png", 2)</f>
        <v>0</v>
      </c>
      <c r="G1094" t="s">
        <v>9</v>
      </c>
    </row>
    <row r="1095" spans="1:7">
      <c r="C1095" s="4" t="s">
        <v>811</v>
      </c>
      <c r="D1095" s="4" t="s">
        <v>812</v>
      </c>
      <c r="E1095" s="4" t="s">
        <v>813</v>
      </c>
      <c r="F1095" s="4" t="s">
        <v>814</v>
      </c>
    </row>
    <row r="1097" spans="1:7" ht="264" customHeight="1">
      <c r="A1097" s="2">
        <v>366</v>
      </c>
      <c r="B1097" s="3" t="s">
        <v>815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8</v>
      </c>
    </row>
    <row r="1100" spans="1:7" ht="264" customHeight="1">
      <c r="A1100" s="2">
        <v>367</v>
      </c>
      <c r="B1100" s="3" t="s">
        <v>816</v>
      </c>
      <c r="C1100">
        <f>IMAGE("https://raw.githubusercontent.com/stautonico/tcg-livingdex/main/images/367/1.png", 2)</f>
        <v>0</v>
      </c>
      <c r="D1100">
        <f>IMAGE("https://raw.githubusercontent.com/stautonico/tcg-livingdex/main/images/367/2.png", 2)</f>
        <v>0</v>
      </c>
      <c r="E1100">
        <f>IMAGE("https://raw.githubusercontent.com/stautonico/tcg-livingdex/main/images/367/3.png", 2)</f>
        <v>0</v>
      </c>
      <c r="F1100">
        <f>IMAGE("https://raw.githubusercontent.com/stautonico/tcg-livingdex/main/images/367/4.png", 2)</f>
        <v>0</v>
      </c>
      <c r="G1100" t="s">
        <v>9</v>
      </c>
    </row>
    <row r="1101" spans="1:7">
      <c r="C1101" s="4" t="s">
        <v>817</v>
      </c>
      <c r="D1101" s="4" t="s">
        <v>818</v>
      </c>
      <c r="E1101" s="4" t="s">
        <v>819</v>
      </c>
      <c r="F1101" s="4" t="s">
        <v>820</v>
      </c>
    </row>
    <row r="1103" spans="1:7" ht="264" customHeight="1">
      <c r="A1103" s="2">
        <v>368</v>
      </c>
      <c r="B1103" s="3" t="s">
        <v>821</v>
      </c>
      <c r="C1103">
        <f>IMAGE("https://raw.githubusercontent.com/stautonico/tcg-livingdex/main/images/368/1.png", 2)</f>
        <v>0</v>
      </c>
      <c r="D1103">
        <f>IMAGE("https://raw.githubusercontent.com/stautonico/tcg-livingdex/main/images/368/2.png", 2)</f>
        <v>0</v>
      </c>
      <c r="E1103">
        <f>IMAGE("https://raw.githubusercontent.com/stautonico/tcg-livingdex/main/images/368/3.png", 2)</f>
        <v>0</v>
      </c>
      <c r="F1103">
        <f>IMAGE("https://raw.githubusercontent.com/stautonico/tcg-livingdex/main/images/368/4.png", 2)</f>
        <v>0</v>
      </c>
      <c r="G1103" t="s">
        <v>9</v>
      </c>
    </row>
    <row r="1104" spans="1:7">
      <c r="C1104" s="4" t="s">
        <v>822</v>
      </c>
      <c r="D1104" s="4" t="s">
        <v>823</v>
      </c>
      <c r="E1104" s="4" t="s">
        <v>824</v>
      </c>
      <c r="F1104" s="4" t="s">
        <v>825</v>
      </c>
    </row>
    <row r="1106" spans="1:7" ht="264" customHeight="1">
      <c r="A1106" s="2">
        <v>369</v>
      </c>
      <c r="B1106" s="3" t="s">
        <v>826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8</v>
      </c>
    </row>
    <row r="1109" spans="1:7" ht="264" customHeight="1">
      <c r="A1109" s="2">
        <v>370</v>
      </c>
      <c r="B1109" s="3" t="s">
        <v>827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8</v>
      </c>
    </row>
    <row r="1112" spans="1:7" ht="264" customHeight="1">
      <c r="A1112" s="2">
        <v>371</v>
      </c>
      <c r="B1112" s="3" t="s">
        <v>828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8</v>
      </c>
    </row>
    <row r="1115" spans="1:7" ht="264" customHeight="1">
      <c r="A1115" s="2">
        <v>372</v>
      </c>
      <c r="B1115" s="3" t="s">
        <v>829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8</v>
      </c>
    </row>
    <row r="1118" spans="1:7" ht="264" customHeight="1">
      <c r="A1118" s="2">
        <v>373</v>
      </c>
      <c r="B1118" s="3" t="s">
        <v>830</v>
      </c>
      <c r="C1118">
        <f>IMAGE("https://raw.githubusercontent.com/stautonico/tcg-livingdex/main/images/373/1.png", 2)</f>
        <v>0</v>
      </c>
      <c r="D1118">
        <f>IMAGE("https://raw.githubusercontent.com/stautonico/tcg-livingdex/main/images/373/2.png", 2)</f>
        <v>0</v>
      </c>
      <c r="E1118">
        <f>IMAGE("https://raw.githubusercontent.com/stautonico/tcg-livingdex/main/images/373/3.png", 2)</f>
        <v>0</v>
      </c>
      <c r="F1118">
        <f>IMAGE("https://raw.githubusercontent.com/stautonico/tcg-livingdex/main/images/373/4.png", 2)</f>
        <v>0</v>
      </c>
      <c r="G1118" t="s">
        <v>9</v>
      </c>
    </row>
    <row r="1119" spans="1:7">
      <c r="C1119" s="4" t="s">
        <v>831</v>
      </c>
      <c r="D1119" s="4" t="s">
        <v>832</v>
      </c>
      <c r="E1119" s="4" t="s">
        <v>833</v>
      </c>
      <c r="F1119" s="4" t="s">
        <v>834</v>
      </c>
    </row>
    <row r="1121" spans="1:7" ht="264" customHeight="1">
      <c r="A1121" s="2">
        <v>374</v>
      </c>
      <c r="B1121" s="3" t="s">
        <v>835</v>
      </c>
      <c r="C1121">
        <f>IMAGE("https://raw.githubusercontent.com/stautonico/tcg-livingdex/main/images/374/1.png", 2)</f>
        <v>0</v>
      </c>
      <c r="D1121">
        <f>IMAGE("https://raw.githubusercontent.com/stautonico/tcg-livingdex/main/images/374/2.png", 2)</f>
        <v>0</v>
      </c>
      <c r="E1121">
        <f>IMAGE("https://raw.githubusercontent.com/stautonico/tcg-livingdex/main/images/374/3.png", 2)</f>
        <v>0</v>
      </c>
      <c r="F1121">
        <f>IMAGE("https://raw.githubusercontent.com/stautonico/tcg-livingdex/main/images/374/4.png", 2)</f>
        <v>0</v>
      </c>
      <c r="G1121" t="s">
        <v>9</v>
      </c>
    </row>
    <row r="1122" spans="1:7">
      <c r="C1122" s="4" t="s">
        <v>836</v>
      </c>
      <c r="D1122" s="4" t="s">
        <v>837</v>
      </c>
      <c r="E1122" s="4" t="s">
        <v>838</v>
      </c>
      <c r="F1122" s="4" t="s">
        <v>839</v>
      </c>
    </row>
    <row r="1124" spans="1:7" ht="264" customHeight="1">
      <c r="A1124" s="2">
        <v>375</v>
      </c>
      <c r="B1124" s="3" t="s">
        <v>840</v>
      </c>
      <c r="C1124">
        <f>IMAGE("https://raw.githubusercontent.com/stautonico/tcg-livingdex/main/images/375/1.png", 2)</f>
        <v>0</v>
      </c>
      <c r="D1124">
        <f>IMAGE("https://raw.githubusercontent.com/stautonico/tcg-livingdex/main/images/375/2.png", 2)</f>
        <v>0</v>
      </c>
      <c r="E1124">
        <f>IMAGE("https://raw.githubusercontent.com/stautonico/tcg-livingdex/main/images/375/3.png", 2)</f>
        <v>0</v>
      </c>
      <c r="F1124">
        <f>IMAGE("https://raw.githubusercontent.com/stautonico/tcg-livingdex/main/images/375/4.png", 2)</f>
        <v>0</v>
      </c>
      <c r="G1124" t="s">
        <v>9</v>
      </c>
    </row>
    <row r="1125" spans="1:7">
      <c r="C1125" s="4" t="s">
        <v>841</v>
      </c>
      <c r="D1125" s="4" t="s">
        <v>842</v>
      </c>
      <c r="E1125" s="4" t="s">
        <v>843</v>
      </c>
      <c r="F1125" s="4" t="s">
        <v>844</v>
      </c>
    </row>
    <row r="1127" spans="1:7" ht="264" customHeight="1">
      <c r="A1127" s="2">
        <v>376</v>
      </c>
      <c r="B1127" s="3" t="s">
        <v>845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8</v>
      </c>
    </row>
    <row r="1130" spans="1:7" ht="264" customHeight="1">
      <c r="A1130" s="2">
        <v>377</v>
      </c>
      <c r="B1130" s="3" t="s">
        <v>846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8</v>
      </c>
    </row>
    <row r="1133" spans="1:7" ht="264" customHeight="1">
      <c r="A1133" s="2">
        <v>378</v>
      </c>
      <c r="B1133" s="3" t="s">
        <v>847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8</v>
      </c>
    </row>
    <row r="1136" spans="1:7" ht="264" customHeight="1">
      <c r="A1136" s="2">
        <v>379</v>
      </c>
      <c r="B1136" s="3" t="s">
        <v>848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8</v>
      </c>
    </row>
    <row r="1139" spans="1:7" ht="264" customHeight="1">
      <c r="A1139" s="2">
        <v>380</v>
      </c>
      <c r="B1139" s="3" t="s">
        <v>849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8</v>
      </c>
    </row>
    <row r="1142" spans="1:7" ht="264" customHeight="1">
      <c r="A1142" s="2">
        <v>381</v>
      </c>
      <c r="B1142" s="3" t="s">
        <v>850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8</v>
      </c>
    </row>
    <row r="1145" spans="1:7" ht="264" customHeight="1">
      <c r="A1145" s="2">
        <v>382</v>
      </c>
      <c r="B1145" s="3" t="s">
        <v>851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8</v>
      </c>
    </row>
    <row r="1148" spans="1:7" ht="264" customHeight="1">
      <c r="A1148" s="2">
        <v>383</v>
      </c>
      <c r="B1148" s="3" t="s">
        <v>852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8</v>
      </c>
    </row>
    <row r="1151" spans="1:7" ht="264" customHeight="1">
      <c r="A1151" s="2">
        <v>384</v>
      </c>
      <c r="B1151" s="3" t="s">
        <v>853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8</v>
      </c>
    </row>
    <row r="1154" spans="1:7" ht="264" customHeight="1">
      <c r="A1154" s="2">
        <v>385</v>
      </c>
      <c r="B1154" s="3" t="s">
        <v>854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8</v>
      </c>
    </row>
    <row r="1157" spans="1:7" ht="264" customHeight="1">
      <c r="A1157" s="2">
        <v>386</v>
      </c>
      <c r="B1157" s="3" t="s">
        <v>855</v>
      </c>
      <c r="C1157">
        <f>IMAGE("https://raw.githubusercontent.com/stautonico/tcg-livingdex/main/images/386/1.png", 2)</f>
        <v>0</v>
      </c>
      <c r="D1157">
        <f>IMAGE("https://raw.githubusercontent.com/stautonico/tcg-livingdex/main/images/386/2.png", 2)</f>
        <v>0</v>
      </c>
      <c r="E1157">
        <f>IMAGE("https://raw.githubusercontent.com/stautonico/tcg-livingdex/main/images/386/3.png", 2)</f>
        <v>0</v>
      </c>
      <c r="F1157">
        <f>IMAGE("https://raw.githubusercontent.com/stautonico/tcg-livingdex/main/images/386/4.png", 2)</f>
        <v>0</v>
      </c>
      <c r="G1157" t="s">
        <v>9</v>
      </c>
    </row>
    <row r="1158" spans="1:7">
      <c r="C1158" s="4" t="s">
        <v>856</v>
      </c>
      <c r="D1158" s="4" t="s">
        <v>857</v>
      </c>
      <c r="E1158" s="4" t="s">
        <v>858</v>
      </c>
      <c r="F1158" s="4" t="s">
        <v>859</v>
      </c>
    </row>
    <row r="1160" spans="1:7" ht="264" customHeight="1">
      <c r="A1160" s="2">
        <v>387</v>
      </c>
      <c r="B1160" s="3" t="s">
        <v>860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861</v>
      </c>
    </row>
    <row r="1163" spans="1:7" ht="264" customHeight="1">
      <c r="A1163" s="2">
        <v>388</v>
      </c>
      <c r="B1163" s="3" t="s">
        <v>862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8</v>
      </c>
    </row>
    <row r="1166" spans="1:7" ht="264" customHeight="1">
      <c r="A1166" s="2">
        <v>389</v>
      </c>
      <c r="B1166" s="3" t="s">
        <v>863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8</v>
      </c>
    </row>
    <row r="1169" spans="1:7" ht="264" customHeight="1">
      <c r="A1169" s="2">
        <v>390</v>
      </c>
      <c r="B1169" s="3" t="s">
        <v>864</v>
      </c>
      <c r="C1169">
        <f>IMAGE("https://raw.githubusercontent.com/stautonico/tcg-livingdex/main/images/390/1.png", 2)</f>
        <v>0</v>
      </c>
      <c r="D1169">
        <f>IMAGE("https://raw.githubusercontent.com/stautonico/tcg-livingdex/main/images/390/2.png", 2)</f>
        <v>0</v>
      </c>
      <c r="E1169">
        <f>IMAGE("https://raw.githubusercontent.com/stautonico/tcg-livingdex/main/images/390/3.png", 2)</f>
        <v>0</v>
      </c>
      <c r="F1169">
        <f>IMAGE("https://raw.githubusercontent.com/stautonico/tcg-livingdex/main/images/390/4.png", 2)</f>
        <v>0</v>
      </c>
      <c r="G1169" t="s">
        <v>9</v>
      </c>
    </row>
    <row r="1170" spans="1:7">
      <c r="C1170" s="4" t="s">
        <v>865</v>
      </c>
      <c r="D1170" s="4" t="s">
        <v>866</v>
      </c>
      <c r="E1170" s="4" t="s">
        <v>867</v>
      </c>
      <c r="F1170" s="4" t="s">
        <v>868</v>
      </c>
    </row>
    <row r="1172" spans="1:7" ht="264" customHeight="1">
      <c r="A1172" s="2">
        <v>391</v>
      </c>
      <c r="B1172" s="3" t="s">
        <v>869</v>
      </c>
      <c r="C1172">
        <f>IMAGE("https://raw.githubusercontent.com/stautonico/tcg-livingdex/main/images/391/1.png", 2)</f>
        <v>0</v>
      </c>
      <c r="D1172">
        <f>IMAGE("https://raw.githubusercontent.com/stautonico/tcg-livingdex/main/images/391/2.png", 2)</f>
        <v>0</v>
      </c>
      <c r="E1172">
        <f>IMAGE("https://raw.githubusercontent.com/stautonico/tcg-livingdex/main/images/391/3.png", 2)</f>
        <v>0</v>
      </c>
      <c r="F1172">
        <f>IMAGE("https://raw.githubusercontent.com/stautonico/tcg-livingdex/main/images/391/4.png", 2)</f>
        <v>0</v>
      </c>
      <c r="G1172" t="s">
        <v>9</v>
      </c>
    </row>
    <row r="1173" spans="1:7">
      <c r="C1173" s="4" t="s">
        <v>870</v>
      </c>
      <c r="D1173" s="4" t="s">
        <v>871</v>
      </c>
      <c r="E1173" s="4" t="s">
        <v>872</v>
      </c>
      <c r="F1173" s="4" t="s">
        <v>873</v>
      </c>
    </row>
    <row r="1175" spans="1:7" ht="264" customHeight="1">
      <c r="A1175" s="2">
        <v>392</v>
      </c>
      <c r="B1175" s="3" t="s">
        <v>874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8</v>
      </c>
    </row>
    <row r="1178" spans="1:7" ht="264" customHeight="1">
      <c r="A1178" s="2">
        <v>393</v>
      </c>
      <c r="B1178" s="3" t="s">
        <v>875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8</v>
      </c>
    </row>
    <row r="1181" spans="1:7" ht="264" customHeight="1">
      <c r="A1181" s="2">
        <v>394</v>
      </c>
      <c r="B1181" s="3" t="s">
        <v>876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8</v>
      </c>
    </row>
    <row r="1184" spans="1:7" ht="264" customHeight="1">
      <c r="A1184" s="2">
        <v>395</v>
      </c>
      <c r="B1184" s="3" t="s">
        <v>877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8</v>
      </c>
    </row>
    <row r="1187" spans="1:7" ht="264" customHeight="1">
      <c r="A1187" s="2">
        <v>396</v>
      </c>
      <c r="B1187" s="3" t="s">
        <v>878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8</v>
      </c>
    </row>
    <row r="1190" spans="1:7" ht="264" customHeight="1">
      <c r="A1190" s="2">
        <v>397</v>
      </c>
      <c r="B1190" s="3" t="s">
        <v>879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8</v>
      </c>
    </row>
    <row r="1193" spans="1:7" ht="264" customHeight="1">
      <c r="A1193" s="2">
        <v>398</v>
      </c>
      <c r="B1193" s="3" t="s">
        <v>880</v>
      </c>
      <c r="C1193">
        <f>IMAGE("https://raw.githubusercontent.com/stautonico/tcg-livingdex/main/images/398/1.png", 2)</f>
        <v>0</v>
      </c>
      <c r="D1193">
        <f>IMAGE("https://raw.githubusercontent.com/stautonico/tcg-livingdex/main/images/398/2.png", 2)</f>
        <v>0</v>
      </c>
      <c r="E1193">
        <f>IMAGE("https://raw.githubusercontent.com/stautonico/tcg-livingdex/main/images/398/3.png", 2)</f>
        <v>0</v>
      </c>
      <c r="F1193">
        <f>IMAGE("https://raw.githubusercontent.com/stautonico/tcg-livingdex/main/images/398/4.png", 2)</f>
        <v>0</v>
      </c>
      <c r="G1193" t="s">
        <v>9</v>
      </c>
    </row>
    <row r="1194" spans="1:7">
      <c r="C1194" s="4" t="s">
        <v>881</v>
      </c>
      <c r="D1194" s="4" t="s">
        <v>882</v>
      </c>
      <c r="E1194" s="4" t="s">
        <v>883</v>
      </c>
      <c r="F1194" s="4" t="s">
        <v>884</v>
      </c>
    </row>
    <row r="1196" spans="1:7" ht="264" customHeight="1">
      <c r="A1196" s="2">
        <v>399</v>
      </c>
      <c r="B1196" s="3" t="s">
        <v>885</v>
      </c>
      <c r="C1196">
        <f>IMAGE("https://raw.githubusercontent.com/stautonico/tcg-livingdex/main/images/399/1.png", 2)</f>
        <v>0</v>
      </c>
      <c r="D1196">
        <f>IMAGE("https://raw.githubusercontent.com/stautonico/tcg-livingdex/main/images/399/2.png", 2)</f>
        <v>0</v>
      </c>
      <c r="E1196">
        <f>IMAGE("https://raw.githubusercontent.com/stautonico/tcg-livingdex/main/images/399/3.png", 2)</f>
        <v>0</v>
      </c>
      <c r="F1196">
        <f>IMAGE("https://raw.githubusercontent.com/stautonico/tcg-livingdex/main/images/399/4.png", 2)</f>
        <v>0</v>
      </c>
      <c r="G1196" t="s">
        <v>9</v>
      </c>
    </row>
    <row r="1197" spans="1:7">
      <c r="C1197" s="4" t="s">
        <v>886</v>
      </c>
      <c r="D1197" s="4" t="s">
        <v>887</v>
      </c>
      <c r="E1197" s="4" t="s">
        <v>888</v>
      </c>
      <c r="F1197" s="4" t="s">
        <v>889</v>
      </c>
    </row>
    <row r="1199" spans="1:7" ht="264" customHeight="1">
      <c r="A1199" s="2">
        <v>400</v>
      </c>
      <c r="B1199" s="3" t="s">
        <v>890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8</v>
      </c>
    </row>
    <row r="1202" spans="1:7" ht="264" customHeight="1">
      <c r="A1202" s="2">
        <v>401</v>
      </c>
      <c r="B1202" s="3" t="s">
        <v>891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8</v>
      </c>
    </row>
    <row r="1205" spans="1:7" ht="264" customHeight="1">
      <c r="A1205" s="2">
        <v>402</v>
      </c>
      <c r="B1205" s="3" t="s">
        <v>892</v>
      </c>
      <c r="C1205">
        <f>IMAGE("https://raw.githubusercontent.com/stautonico/tcg-livingdex/main/images/402/1.png", 2)</f>
        <v>0</v>
      </c>
      <c r="D1205">
        <f>IMAGE("https://raw.githubusercontent.com/stautonico/tcg-livingdex/main/images/402/2.png", 2)</f>
        <v>0</v>
      </c>
      <c r="E1205">
        <f>IMAGE("https://raw.githubusercontent.com/stautonico/tcg-livingdex/main/images/402/3.png", 2)</f>
        <v>0</v>
      </c>
      <c r="F1205">
        <f>IMAGE("https://raw.githubusercontent.com/stautonico/tcg-livingdex/main/images/402/4.png", 2)</f>
        <v>0</v>
      </c>
      <c r="G1205" t="s">
        <v>9</v>
      </c>
    </row>
    <row r="1206" spans="1:7">
      <c r="C1206" s="4" t="s">
        <v>893</v>
      </c>
      <c r="D1206" s="4" t="s">
        <v>894</v>
      </c>
      <c r="E1206" s="4" t="s">
        <v>895</v>
      </c>
      <c r="F1206" s="4" t="s">
        <v>896</v>
      </c>
    </row>
    <row r="1208" spans="1:7" ht="264" customHeight="1">
      <c r="A1208" s="2">
        <v>403</v>
      </c>
      <c r="B1208" s="3" t="s">
        <v>897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8</v>
      </c>
    </row>
    <row r="1211" spans="1:7" ht="264" customHeight="1">
      <c r="A1211" s="2">
        <v>404</v>
      </c>
      <c r="B1211" s="3" t="s">
        <v>898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8</v>
      </c>
    </row>
    <row r="1214" spans="1:7" ht="264" customHeight="1">
      <c r="A1214" s="2">
        <v>405</v>
      </c>
      <c r="B1214" s="3" t="s">
        <v>899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8</v>
      </c>
    </row>
    <row r="1217" spans="1:7" ht="264" customHeight="1">
      <c r="A1217" s="2">
        <v>406</v>
      </c>
      <c r="B1217" s="3" t="s">
        <v>900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8</v>
      </c>
    </row>
    <row r="1220" spans="1:7" ht="264" customHeight="1">
      <c r="A1220" s="2">
        <v>407</v>
      </c>
      <c r="B1220" s="3" t="s">
        <v>901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902</v>
      </c>
    </row>
    <row r="1223" spans="1:7" ht="264" customHeight="1">
      <c r="A1223" s="2">
        <v>408</v>
      </c>
      <c r="B1223" s="3" t="s">
        <v>903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8</v>
      </c>
    </row>
    <row r="1226" spans="1:7" ht="264" customHeight="1">
      <c r="A1226" s="2">
        <v>409</v>
      </c>
      <c r="B1226" s="3" t="s">
        <v>904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8</v>
      </c>
    </row>
    <row r="1229" spans="1:7" ht="264" customHeight="1">
      <c r="A1229" s="2">
        <v>410</v>
      </c>
      <c r="B1229" s="3" t="s">
        <v>905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8</v>
      </c>
    </row>
    <row r="1232" spans="1:7" ht="264" customHeight="1">
      <c r="A1232" s="2">
        <v>411</v>
      </c>
      <c r="B1232" s="3" t="s">
        <v>906</v>
      </c>
      <c r="C1232">
        <f>IMAGE("https://raw.githubusercontent.com/stautonico/tcg-livingdex/main/images/411/1.png", 2)</f>
        <v>0</v>
      </c>
      <c r="D1232">
        <f>IMAGE("https://raw.githubusercontent.com/stautonico/tcg-livingdex/main/images/411/2.png", 2)</f>
        <v>0</v>
      </c>
      <c r="E1232">
        <f>IMAGE("https://raw.githubusercontent.com/stautonico/tcg-livingdex/main/images/411/3.png", 2)</f>
        <v>0</v>
      </c>
      <c r="F1232">
        <f>IMAGE("https://raw.githubusercontent.com/stautonico/tcg-livingdex/main/images/411/4.png", 2)</f>
        <v>0</v>
      </c>
      <c r="G1232" t="s">
        <v>9</v>
      </c>
    </row>
    <row r="1233" spans="1:7">
      <c r="C1233" s="4" t="s">
        <v>907</v>
      </c>
      <c r="D1233" s="4" t="s">
        <v>908</v>
      </c>
      <c r="E1233" s="4" t="s">
        <v>909</v>
      </c>
      <c r="F1233" s="4" t="s">
        <v>910</v>
      </c>
    </row>
    <row r="1235" spans="1:7" ht="264" customHeight="1">
      <c r="A1235" s="2">
        <v>412</v>
      </c>
      <c r="B1235" s="3" t="s">
        <v>911</v>
      </c>
      <c r="C1235">
        <f>IMAGE("https://raw.githubusercontent.com/stautonico/tcg-livingdex/main/images/412/1.png", 2)</f>
        <v>0</v>
      </c>
      <c r="D1235">
        <f>IMAGE("https://raw.githubusercontent.com/stautonico/tcg-livingdex/main/images/412/2.png", 2)</f>
        <v>0</v>
      </c>
      <c r="E1235">
        <f>IMAGE("https://raw.githubusercontent.com/stautonico/tcg-livingdex/main/images/412/3.png", 2)</f>
        <v>0</v>
      </c>
      <c r="F1235">
        <f>IMAGE("https://raw.githubusercontent.com/stautonico/tcg-livingdex/main/images/412/4.png", 2)</f>
        <v>0</v>
      </c>
      <c r="G1235" t="s">
        <v>9</v>
      </c>
    </row>
    <row r="1236" spans="1:7">
      <c r="C1236" s="4" t="s">
        <v>912</v>
      </c>
      <c r="D1236" s="4" t="s">
        <v>913</v>
      </c>
      <c r="E1236" s="4" t="s">
        <v>914</v>
      </c>
      <c r="F1236" s="4" t="s">
        <v>915</v>
      </c>
    </row>
    <row r="1238" spans="1:7" ht="264" customHeight="1">
      <c r="A1238" s="2">
        <v>413</v>
      </c>
      <c r="B1238" s="3" t="s">
        <v>916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8</v>
      </c>
    </row>
    <row r="1241" spans="1:7" ht="264" customHeight="1">
      <c r="A1241" s="2">
        <v>414</v>
      </c>
      <c r="B1241" s="3" t="s">
        <v>917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8</v>
      </c>
    </row>
    <row r="1244" spans="1:7" ht="264" customHeight="1">
      <c r="A1244" s="2">
        <v>415</v>
      </c>
      <c r="B1244" s="3" t="s">
        <v>918</v>
      </c>
      <c r="C1244">
        <f>IMAGE("https://raw.githubusercontent.com/stautonico/tcg-livingdex/main/images/415/1.png", 2)</f>
        <v>0</v>
      </c>
      <c r="D1244">
        <f>IMAGE("https://raw.githubusercontent.com/stautonico/tcg-livingdex/main/images/415/2.png", 2)</f>
        <v>0</v>
      </c>
      <c r="E1244">
        <f>IMAGE("https://raw.githubusercontent.com/stautonico/tcg-livingdex/main/images/415/3.png", 2)</f>
        <v>0</v>
      </c>
      <c r="F1244">
        <f>IMAGE("https://raw.githubusercontent.com/stautonico/tcg-livingdex/main/images/415/4.png", 2)</f>
        <v>0</v>
      </c>
      <c r="G1244" t="s">
        <v>9</v>
      </c>
    </row>
    <row r="1245" spans="1:7">
      <c r="C1245" s="4" t="s">
        <v>919</v>
      </c>
      <c r="D1245" s="4" t="s">
        <v>920</v>
      </c>
      <c r="E1245" s="4" t="s">
        <v>921</v>
      </c>
      <c r="F1245" s="4" t="s">
        <v>922</v>
      </c>
    </row>
    <row r="1247" spans="1:7" ht="264" customHeight="1">
      <c r="A1247" s="2">
        <v>416</v>
      </c>
      <c r="B1247" s="3" t="s">
        <v>923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8</v>
      </c>
    </row>
    <row r="1250" spans="1:7" ht="264" customHeight="1">
      <c r="A1250" s="2">
        <v>417</v>
      </c>
      <c r="B1250" s="3" t="s">
        <v>924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8</v>
      </c>
    </row>
    <row r="1253" spans="1:7" ht="264" customHeight="1">
      <c r="A1253" s="2">
        <v>418</v>
      </c>
      <c r="B1253" s="3" t="s">
        <v>925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8</v>
      </c>
    </row>
    <row r="1256" spans="1:7" ht="264" customHeight="1">
      <c r="A1256" s="2">
        <v>419</v>
      </c>
      <c r="B1256" s="3" t="s">
        <v>926</v>
      </c>
      <c r="C1256">
        <f>IMAGE("https://raw.githubusercontent.com/stautonico/tcg-livingdex/main/images/419/1.png", 2)</f>
        <v>0</v>
      </c>
      <c r="D1256">
        <f>IMAGE("https://raw.githubusercontent.com/stautonico/tcg-livingdex/main/images/419/2.png", 2)</f>
        <v>0</v>
      </c>
      <c r="E1256">
        <f>IMAGE("https://raw.githubusercontent.com/stautonico/tcg-livingdex/main/images/419/3.png", 2)</f>
        <v>0</v>
      </c>
      <c r="F1256">
        <f>IMAGE("https://raw.githubusercontent.com/stautonico/tcg-livingdex/main/images/419/4.png", 2)</f>
        <v>0</v>
      </c>
      <c r="G1256" t="s">
        <v>9</v>
      </c>
    </row>
    <row r="1257" spans="1:7">
      <c r="C1257" s="4" t="s">
        <v>927</v>
      </c>
      <c r="D1257" s="4" t="s">
        <v>928</v>
      </c>
      <c r="E1257" s="4" t="s">
        <v>929</v>
      </c>
      <c r="F1257" s="4" t="s">
        <v>930</v>
      </c>
    </row>
    <row r="1259" spans="1:7" ht="264" customHeight="1">
      <c r="A1259" s="2">
        <v>420</v>
      </c>
      <c r="B1259" s="3" t="s">
        <v>931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8</v>
      </c>
    </row>
    <row r="1262" spans="1:7" ht="264" customHeight="1">
      <c r="A1262" s="2">
        <v>421</v>
      </c>
      <c r="B1262" s="3" t="s">
        <v>932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8</v>
      </c>
    </row>
    <row r="1265" spans="1:7" ht="264" customHeight="1">
      <c r="A1265" s="2">
        <v>422</v>
      </c>
      <c r="B1265" s="3" t="s">
        <v>933</v>
      </c>
      <c r="C1265">
        <f>IMAGE("https://raw.githubusercontent.com/stautonico/tcg-livingdex/main/images/422/1.png", 2)</f>
        <v>0</v>
      </c>
      <c r="D1265">
        <f>IMAGE("https://raw.githubusercontent.com/stautonico/tcg-livingdex/main/images/422/2.png", 2)</f>
        <v>0</v>
      </c>
      <c r="E1265">
        <f>IMAGE("https://raw.githubusercontent.com/stautonico/tcg-livingdex/main/images/422/3.png", 2)</f>
        <v>0</v>
      </c>
      <c r="F1265">
        <f>IMAGE("https://raw.githubusercontent.com/stautonico/tcg-livingdex/main/images/422/4.png", 2)</f>
        <v>0</v>
      </c>
      <c r="G1265" t="s">
        <v>9</v>
      </c>
    </row>
    <row r="1266" spans="1:7">
      <c r="C1266" s="4" t="s">
        <v>934</v>
      </c>
      <c r="D1266" s="4" t="s">
        <v>935</v>
      </c>
      <c r="E1266" s="4" t="s">
        <v>936</v>
      </c>
      <c r="F1266" s="4" t="s">
        <v>937</v>
      </c>
    </row>
    <row r="1268" spans="1:7" ht="264" customHeight="1">
      <c r="A1268" s="2">
        <v>423</v>
      </c>
      <c r="B1268" s="3" t="s">
        <v>938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8</v>
      </c>
    </row>
    <row r="1271" spans="1:7" ht="264" customHeight="1">
      <c r="A1271" s="2">
        <v>424</v>
      </c>
      <c r="B1271" s="3" t="s">
        <v>939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8</v>
      </c>
    </row>
    <row r="1274" spans="1:7" ht="264" customHeight="1">
      <c r="A1274" s="2">
        <v>425</v>
      </c>
      <c r="B1274" s="3" t="s">
        <v>940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8</v>
      </c>
    </row>
    <row r="1277" spans="1:7" ht="264" customHeight="1">
      <c r="A1277" s="2">
        <v>426</v>
      </c>
      <c r="B1277" s="3" t="s">
        <v>941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8</v>
      </c>
    </row>
    <row r="1280" spans="1:7" ht="264" customHeight="1">
      <c r="A1280" s="2">
        <v>427</v>
      </c>
      <c r="B1280" s="3" t="s">
        <v>942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8</v>
      </c>
    </row>
    <row r="1283" spans="1:7" ht="264" customHeight="1">
      <c r="A1283" s="2">
        <v>428</v>
      </c>
      <c r="B1283" s="3" t="s">
        <v>943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8</v>
      </c>
    </row>
    <row r="1286" spans="1:7" ht="264" customHeight="1">
      <c r="A1286" s="2">
        <v>429</v>
      </c>
      <c r="B1286" s="3" t="s">
        <v>944</v>
      </c>
      <c r="C1286">
        <f>IMAGE("https://raw.githubusercontent.com/stautonico/tcg-livingdex/main/images/429/1.png", 2)</f>
        <v>0</v>
      </c>
      <c r="D1286">
        <f>IMAGE("https://raw.githubusercontent.com/stautonico/tcg-livingdex/main/images/429/2.png", 2)</f>
        <v>0</v>
      </c>
      <c r="E1286">
        <f>IMAGE("https://raw.githubusercontent.com/stautonico/tcg-livingdex/main/images/429/3.png", 2)</f>
        <v>0</v>
      </c>
      <c r="F1286">
        <f>IMAGE("https://raw.githubusercontent.com/stautonico/tcg-livingdex/main/images/429/4.png", 2)</f>
        <v>0</v>
      </c>
      <c r="G1286" t="s">
        <v>9</v>
      </c>
    </row>
    <row r="1287" spans="1:7">
      <c r="C1287" s="4" t="s">
        <v>945</v>
      </c>
      <c r="D1287" s="4" t="s">
        <v>946</v>
      </c>
      <c r="E1287" s="4" t="s">
        <v>947</v>
      </c>
      <c r="F1287" s="4" t="s">
        <v>948</v>
      </c>
    </row>
    <row r="1289" spans="1:7" ht="264" customHeight="1">
      <c r="A1289" s="2">
        <v>430</v>
      </c>
      <c r="B1289" s="3" t="s">
        <v>949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8</v>
      </c>
    </row>
    <row r="1292" spans="1:7" ht="264" customHeight="1">
      <c r="A1292" s="2">
        <v>431</v>
      </c>
      <c r="B1292" s="3" t="s">
        <v>950</v>
      </c>
      <c r="C1292">
        <f>IMAGE("https://raw.githubusercontent.com/stautonico/tcg-livingdex/main/images/431/1.png", 2)</f>
        <v>0</v>
      </c>
      <c r="D1292">
        <f>IMAGE("https://raw.githubusercontent.com/stautonico/tcg-livingdex/main/images/431/2.png", 2)</f>
        <v>0</v>
      </c>
      <c r="E1292">
        <f>IMAGE("https://raw.githubusercontent.com/stautonico/tcg-livingdex/main/images/431/3.png", 2)</f>
        <v>0</v>
      </c>
      <c r="F1292">
        <f>IMAGE("https://raw.githubusercontent.com/stautonico/tcg-livingdex/main/images/431/4.png", 2)</f>
        <v>0</v>
      </c>
      <c r="G1292" t="s">
        <v>9</v>
      </c>
    </row>
    <row r="1293" spans="1:7">
      <c r="C1293" s="4" t="s">
        <v>951</v>
      </c>
      <c r="D1293" s="4" t="s">
        <v>952</v>
      </c>
      <c r="E1293" s="4" t="s">
        <v>953</v>
      </c>
      <c r="F1293" s="4" t="s">
        <v>954</v>
      </c>
    </row>
    <row r="1295" spans="1:7" ht="264" customHeight="1">
      <c r="A1295" s="2">
        <v>432</v>
      </c>
      <c r="B1295" s="3" t="s">
        <v>955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8</v>
      </c>
    </row>
    <row r="1298" spans="1:7" ht="264" customHeight="1">
      <c r="A1298" s="2">
        <v>433</v>
      </c>
      <c r="B1298" s="3" t="s">
        <v>956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8</v>
      </c>
    </row>
    <row r="1301" spans="1:7" ht="264" customHeight="1">
      <c r="A1301" s="2">
        <v>434</v>
      </c>
      <c r="B1301" s="3" t="s">
        <v>957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8</v>
      </c>
    </row>
    <row r="1304" spans="1:7" ht="264" customHeight="1">
      <c r="A1304" s="2">
        <v>435</v>
      </c>
      <c r="B1304" s="3" t="s">
        <v>958</v>
      </c>
      <c r="C1304">
        <f>IMAGE("https://raw.githubusercontent.com/stautonico/tcg-livingdex/main/images/435/1.png", 2)</f>
        <v>0</v>
      </c>
      <c r="D1304">
        <f>IMAGE("https://raw.githubusercontent.com/stautonico/tcg-livingdex/main/images/435/2.png", 2)</f>
        <v>0</v>
      </c>
      <c r="E1304">
        <f>IMAGE("https://raw.githubusercontent.com/stautonico/tcg-livingdex/main/images/435/3.png", 2)</f>
        <v>0</v>
      </c>
      <c r="F1304">
        <f>IMAGE("https://raw.githubusercontent.com/stautonico/tcg-livingdex/main/images/435/4.png", 2)</f>
        <v>0</v>
      </c>
      <c r="G1304" t="s">
        <v>9</v>
      </c>
    </row>
    <row r="1305" spans="1:7">
      <c r="C1305" s="4" t="s">
        <v>959</v>
      </c>
      <c r="D1305" s="4" t="s">
        <v>960</v>
      </c>
      <c r="E1305" s="4" t="s">
        <v>961</v>
      </c>
      <c r="F1305" s="4" t="s">
        <v>962</v>
      </c>
    </row>
    <row r="1307" spans="1:7" ht="264" customHeight="1">
      <c r="A1307" s="2">
        <v>436</v>
      </c>
      <c r="B1307" s="3" t="s">
        <v>963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8</v>
      </c>
    </row>
    <row r="1310" spans="1:7" ht="264" customHeight="1">
      <c r="A1310" s="2">
        <v>437</v>
      </c>
      <c r="B1310" s="3" t="s">
        <v>964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8</v>
      </c>
    </row>
    <row r="1313" spans="1:7" ht="264" customHeight="1">
      <c r="A1313" s="2">
        <v>438</v>
      </c>
      <c r="B1313" s="3" t="s">
        <v>965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8</v>
      </c>
    </row>
    <row r="1316" spans="1:7" ht="264" customHeight="1">
      <c r="A1316" s="2">
        <v>439</v>
      </c>
      <c r="B1316" s="3" t="s">
        <v>966</v>
      </c>
      <c r="C1316">
        <f>IMAGE("https://raw.githubusercontent.com/stautonico/tcg-livingdex/main/images/439/1.png", 2)</f>
        <v>0</v>
      </c>
      <c r="D1316">
        <f>IMAGE("https://raw.githubusercontent.com/stautonico/tcg-livingdex/main/images/439/2.png", 2)</f>
        <v>0</v>
      </c>
      <c r="E1316">
        <f>IMAGE("https://raw.githubusercontent.com/stautonico/tcg-livingdex/main/images/439/3.png", 2)</f>
        <v>0</v>
      </c>
      <c r="G1316" t="s">
        <v>9</v>
      </c>
    </row>
    <row r="1317" spans="1:7">
      <c r="C1317" s="4" t="s">
        <v>967</v>
      </c>
      <c r="D1317" s="4" t="s">
        <v>968</v>
      </c>
      <c r="E1317" s="4" t="s">
        <v>969</v>
      </c>
    </row>
    <row r="1319" spans="1:7" ht="264" customHeight="1">
      <c r="A1319" s="2">
        <v>440</v>
      </c>
      <c r="B1319" s="3" t="s">
        <v>970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8</v>
      </c>
    </row>
    <row r="1322" spans="1:7" ht="264" customHeight="1">
      <c r="A1322" s="2">
        <v>441</v>
      </c>
      <c r="B1322" s="3" t="s">
        <v>971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8</v>
      </c>
    </row>
    <row r="1325" spans="1:7" ht="264" customHeight="1">
      <c r="A1325" s="2">
        <v>442</v>
      </c>
      <c r="B1325" s="3" t="s">
        <v>972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8</v>
      </c>
    </row>
    <row r="1328" spans="1:7" ht="264" customHeight="1">
      <c r="A1328" s="2">
        <v>443</v>
      </c>
      <c r="B1328" s="3" t="s">
        <v>973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8</v>
      </c>
    </row>
    <row r="1331" spans="1:7" ht="264" customHeight="1">
      <c r="A1331" s="2">
        <v>444</v>
      </c>
      <c r="B1331" s="3" t="s">
        <v>974</v>
      </c>
      <c r="C1331">
        <f>IMAGE("https://raw.githubusercontent.com/stautonico/tcg-livingdex/main/images/444/1.png", 2)</f>
        <v>0</v>
      </c>
      <c r="D1331">
        <f>IMAGE("https://raw.githubusercontent.com/stautonico/tcg-livingdex/main/images/444/2.png", 2)</f>
        <v>0</v>
      </c>
      <c r="E1331">
        <f>IMAGE("https://raw.githubusercontent.com/stautonico/tcg-livingdex/main/images/444/3.png", 2)</f>
        <v>0</v>
      </c>
      <c r="F1331">
        <f>IMAGE("https://raw.githubusercontent.com/stautonico/tcg-livingdex/main/images/444/4.png", 2)</f>
        <v>0</v>
      </c>
      <c r="G1331" t="s">
        <v>9</v>
      </c>
    </row>
    <row r="1332" spans="1:7">
      <c r="C1332" s="4" t="s">
        <v>975</v>
      </c>
      <c r="D1332" s="4" t="s">
        <v>976</v>
      </c>
      <c r="E1332" s="4" t="s">
        <v>977</v>
      </c>
      <c r="F1332" s="4" t="s">
        <v>978</v>
      </c>
    </row>
    <row r="1334" spans="1:7" ht="264" customHeight="1">
      <c r="A1334" s="2">
        <v>445</v>
      </c>
      <c r="B1334" s="3" t="s">
        <v>979</v>
      </c>
      <c r="C1334">
        <f>IMAGE("https://raw.githubusercontent.com/stautonico/tcg-livingdex/main/images/445/1.png", 2)</f>
        <v>0</v>
      </c>
      <c r="D1334">
        <f>IMAGE("https://raw.githubusercontent.com/stautonico/tcg-livingdex/main/images/445/2.png", 2)</f>
        <v>0</v>
      </c>
      <c r="E1334">
        <f>IMAGE("https://raw.githubusercontent.com/stautonico/tcg-livingdex/main/images/445/3.png", 2)</f>
        <v>0</v>
      </c>
      <c r="F1334">
        <f>IMAGE("https://raw.githubusercontent.com/stautonico/tcg-livingdex/main/images/445/4.png", 2)</f>
        <v>0</v>
      </c>
      <c r="G1334" t="s">
        <v>9</v>
      </c>
    </row>
    <row r="1335" spans="1:7">
      <c r="C1335" s="4" t="s">
        <v>980</v>
      </c>
      <c r="D1335" s="4" t="s">
        <v>981</v>
      </c>
      <c r="E1335" s="4" t="s">
        <v>982</v>
      </c>
      <c r="F1335" s="4" t="s">
        <v>983</v>
      </c>
    </row>
    <row r="1337" spans="1:7" ht="264" customHeight="1">
      <c r="A1337" s="2">
        <v>446</v>
      </c>
      <c r="B1337" s="3" t="s">
        <v>984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8</v>
      </c>
    </row>
    <row r="1340" spans="1:7" ht="264" customHeight="1">
      <c r="A1340" s="2">
        <v>447</v>
      </c>
      <c r="B1340" s="3" t="s">
        <v>985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8</v>
      </c>
    </row>
    <row r="1343" spans="1:7" ht="264" customHeight="1">
      <c r="A1343" s="2">
        <v>448</v>
      </c>
      <c r="B1343" s="3" t="s">
        <v>986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8</v>
      </c>
    </row>
    <row r="1346" spans="1:7" ht="264" customHeight="1">
      <c r="A1346" s="2">
        <v>449</v>
      </c>
      <c r="B1346" s="3" t="s">
        <v>987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8</v>
      </c>
    </row>
    <row r="1349" spans="1:7" ht="264" customHeight="1">
      <c r="A1349" s="2">
        <v>450</v>
      </c>
      <c r="B1349" s="3" t="s">
        <v>988</v>
      </c>
      <c r="C1349">
        <f>IMAGE("https://raw.githubusercontent.com/stautonico/tcg-livingdex/main/images/450/1.png", 2)</f>
        <v>0</v>
      </c>
      <c r="D1349">
        <f>IMAGE("https://raw.githubusercontent.com/stautonico/tcg-livingdex/main/images/450/2.png", 2)</f>
        <v>0</v>
      </c>
      <c r="E1349">
        <f>IMAGE("https://raw.githubusercontent.com/stautonico/tcg-livingdex/main/images/450/3.png", 2)</f>
        <v>0</v>
      </c>
      <c r="F1349">
        <f>IMAGE("https://raw.githubusercontent.com/stautonico/tcg-livingdex/main/images/450/4.png", 2)</f>
        <v>0</v>
      </c>
      <c r="G1349" t="s">
        <v>9</v>
      </c>
    </row>
    <row r="1350" spans="1:7">
      <c r="C1350" s="4" t="s">
        <v>989</v>
      </c>
      <c r="D1350" s="4" t="s">
        <v>990</v>
      </c>
      <c r="E1350" s="4" t="s">
        <v>991</v>
      </c>
      <c r="F1350" s="4" t="s">
        <v>992</v>
      </c>
    </row>
    <row r="1352" spans="1:7" ht="264" customHeight="1">
      <c r="A1352" s="2">
        <v>451</v>
      </c>
      <c r="B1352" s="3" t="s">
        <v>993</v>
      </c>
      <c r="C1352">
        <f>IMAGE("https://raw.githubusercontent.com/stautonico/tcg-livingdex/main/images/451/1.png", 2)</f>
        <v>0</v>
      </c>
      <c r="D1352">
        <f>IMAGE("https://raw.githubusercontent.com/stautonico/tcg-livingdex/main/images/451/2.png", 2)</f>
        <v>0</v>
      </c>
      <c r="E1352">
        <f>IMAGE("https://raw.githubusercontent.com/stautonico/tcg-livingdex/main/images/451/3.png", 2)</f>
        <v>0</v>
      </c>
      <c r="F1352">
        <f>IMAGE("https://raw.githubusercontent.com/stautonico/tcg-livingdex/main/images/451/4.png", 2)</f>
        <v>0</v>
      </c>
      <c r="G1352" t="s">
        <v>9</v>
      </c>
    </row>
    <row r="1353" spans="1:7">
      <c r="C1353" s="4" t="s">
        <v>994</v>
      </c>
      <c r="D1353" s="4" t="s">
        <v>995</v>
      </c>
      <c r="E1353" s="4" t="s">
        <v>996</v>
      </c>
      <c r="F1353" s="4" t="s">
        <v>997</v>
      </c>
    </row>
    <row r="1355" spans="1:7" ht="264" customHeight="1">
      <c r="A1355" s="2">
        <v>452</v>
      </c>
      <c r="B1355" s="3" t="s">
        <v>998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999</v>
      </c>
    </row>
    <row r="1358" spans="1:7" ht="264" customHeight="1">
      <c r="A1358" s="2">
        <v>453</v>
      </c>
      <c r="B1358" s="3" t="s">
        <v>1000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8</v>
      </c>
    </row>
    <row r="1361" spans="1:7" ht="264" customHeight="1">
      <c r="A1361" s="2">
        <v>454</v>
      </c>
      <c r="B1361" s="3" t="s">
        <v>1001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8</v>
      </c>
    </row>
    <row r="1364" spans="1:7" ht="264" customHeight="1">
      <c r="A1364" s="2">
        <v>455</v>
      </c>
      <c r="B1364" s="3" t="s">
        <v>1002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8</v>
      </c>
    </row>
    <row r="1367" spans="1:7" ht="264" customHeight="1">
      <c r="A1367" s="2">
        <v>456</v>
      </c>
      <c r="B1367" s="3" t="s">
        <v>1003</v>
      </c>
      <c r="C1367">
        <f>IMAGE("https://raw.githubusercontent.com/stautonico/tcg-livingdex/main/images/456/1.png", 2)</f>
        <v>0</v>
      </c>
      <c r="D1367">
        <f>IMAGE("https://raw.githubusercontent.com/stautonico/tcg-livingdex/main/images/456/2.png", 2)</f>
        <v>0</v>
      </c>
      <c r="E1367">
        <f>IMAGE("https://raw.githubusercontent.com/stautonico/tcg-livingdex/main/images/456/3.png", 2)</f>
        <v>0</v>
      </c>
      <c r="F1367">
        <f>IMAGE("https://raw.githubusercontent.com/stautonico/tcg-livingdex/main/images/456/4.png", 2)</f>
        <v>0</v>
      </c>
      <c r="G1367" t="s">
        <v>9</v>
      </c>
    </row>
    <row r="1368" spans="1:7">
      <c r="C1368" s="4" t="s">
        <v>1004</v>
      </c>
      <c r="D1368" s="4" t="s">
        <v>1005</v>
      </c>
      <c r="E1368" s="4" t="s">
        <v>1006</v>
      </c>
      <c r="F1368" s="4" t="s">
        <v>1007</v>
      </c>
    </row>
    <row r="1370" spans="1:7" ht="264" customHeight="1">
      <c r="A1370" s="2">
        <v>457</v>
      </c>
      <c r="B1370" s="3" t="s">
        <v>1008</v>
      </c>
      <c r="C1370">
        <f>IMAGE("https://raw.githubusercontent.com/stautonico/tcg-livingdex/main/images/457/1.png", 2)</f>
        <v>0</v>
      </c>
      <c r="D1370">
        <f>IMAGE("https://raw.githubusercontent.com/stautonico/tcg-livingdex/main/images/457/2.png", 2)</f>
        <v>0</v>
      </c>
      <c r="E1370">
        <f>IMAGE("https://raw.githubusercontent.com/stautonico/tcg-livingdex/main/images/457/3.png", 2)</f>
        <v>0</v>
      </c>
      <c r="F1370">
        <f>IMAGE("https://raw.githubusercontent.com/stautonico/tcg-livingdex/main/images/457/4.png", 2)</f>
        <v>0</v>
      </c>
      <c r="G1370" t="s">
        <v>9</v>
      </c>
    </row>
    <row r="1371" spans="1:7">
      <c r="C1371" s="4" t="s">
        <v>1009</v>
      </c>
      <c r="D1371" s="4" t="s">
        <v>1010</v>
      </c>
      <c r="E1371" s="4" t="s">
        <v>1011</v>
      </c>
      <c r="F1371" s="4" t="s">
        <v>1012</v>
      </c>
    </row>
    <row r="1373" spans="1:7" ht="264" customHeight="1">
      <c r="A1373" s="2">
        <v>458</v>
      </c>
      <c r="B1373" s="3" t="s">
        <v>1013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8</v>
      </c>
    </row>
    <row r="1376" spans="1:7" ht="264" customHeight="1">
      <c r="A1376" s="2">
        <v>459</v>
      </c>
      <c r="B1376" s="3" t="s">
        <v>1014</v>
      </c>
      <c r="C1376">
        <f>IMAGE("https://raw.githubusercontent.com/stautonico/tcg-livingdex/main/images/459/1.png", 2)</f>
        <v>0</v>
      </c>
      <c r="D1376">
        <f>IMAGE("https://raw.githubusercontent.com/stautonico/tcg-livingdex/main/images/459/2.png", 2)</f>
        <v>0</v>
      </c>
      <c r="E1376">
        <f>IMAGE("https://raw.githubusercontent.com/stautonico/tcg-livingdex/main/images/459/3.png", 2)</f>
        <v>0</v>
      </c>
      <c r="F1376">
        <f>IMAGE("https://raw.githubusercontent.com/stautonico/tcg-livingdex/main/images/459/4.png", 2)</f>
        <v>0</v>
      </c>
      <c r="G1376" t="s">
        <v>9</v>
      </c>
    </row>
    <row r="1377" spans="1:7">
      <c r="C1377" s="4" t="s">
        <v>1015</v>
      </c>
      <c r="D1377" s="4" t="s">
        <v>1016</v>
      </c>
      <c r="E1377" s="4" t="s">
        <v>1017</v>
      </c>
      <c r="F1377" s="4" t="s">
        <v>1018</v>
      </c>
    </row>
    <row r="1379" spans="1:7" ht="264" customHeight="1">
      <c r="A1379" s="2">
        <v>460</v>
      </c>
      <c r="B1379" s="3" t="s">
        <v>1019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8</v>
      </c>
    </row>
    <row r="1382" spans="1:7" ht="264" customHeight="1">
      <c r="A1382" s="2">
        <v>461</v>
      </c>
      <c r="B1382" s="3" t="s">
        <v>1020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8</v>
      </c>
    </row>
    <row r="1385" spans="1:7" ht="264" customHeight="1">
      <c r="A1385" s="2">
        <v>462</v>
      </c>
      <c r="B1385" s="3" t="s">
        <v>1021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8</v>
      </c>
    </row>
    <row r="1388" spans="1:7" ht="264" customHeight="1">
      <c r="A1388" s="2">
        <v>463</v>
      </c>
      <c r="B1388" s="3" t="s">
        <v>1022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8</v>
      </c>
    </row>
    <row r="1391" spans="1:7" ht="264" customHeight="1">
      <c r="A1391" s="2">
        <v>464</v>
      </c>
      <c r="B1391" s="3" t="s">
        <v>1023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8</v>
      </c>
    </row>
    <row r="1394" spans="1:7" ht="264" customHeight="1">
      <c r="A1394" s="2">
        <v>465</v>
      </c>
      <c r="B1394" s="3" t="s">
        <v>1024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8</v>
      </c>
    </row>
    <row r="1397" spans="1:7" ht="264" customHeight="1">
      <c r="A1397" s="2">
        <v>466</v>
      </c>
      <c r="B1397" s="3" t="s">
        <v>1025</v>
      </c>
      <c r="C1397">
        <f>IMAGE("https://raw.githubusercontent.com/stautonico/tcg-livingdex/main/images/466/1.png", 2)</f>
        <v>0</v>
      </c>
      <c r="D1397">
        <f>IMAGE("https://raw.githubusercontent.com/stautonico/tcg-livingdex/main/images/466/2.png", 2)</f>
        <v>0</v>
      </c>
      <c r="E1397">
        <f>IMAGE("https://raw.githubusercontent.com/stautonico/tcg-livingdex/main/images/466/3.png", 2)</f>
        <v>0</v>
      </c>
      <c r="F1397">
        <f>IMAGE("https://raw.githubusercontent.com/stautonico/tcg-livingdex/main/images/466/4.png", 2)</f>
        <v>0</v>
      </c>
      <c r="G1397" t="s">
        <v>9</v>
      </c>
    </row>
    <row r="1398" spans="1:7">
      <c r="C1398" s="4" t="s">
        <v>1026</v>
      </c>
      <c r="D1398" s="4" t="s">
        <v>1027</v>
      </c>
      <c r="E1398" s="4" t="s">
        <v>1028</v>
      </c>
      <c r="F1398" s="4" t="s">
        <v>1029</v>
      </c>
    </row>
    <row r="1400" spans="1:7" ht="264" customHeight="1">
      <c r="A1400" s="2">
        <v>467</v>
      </c>
      <c r="B1400" s="3" t="s">
        <v>1030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8</v>
      </c>
    </row>
    <row r="1403" spans="1:7" ht="264" customHeight="1">
      <c r="A1403" s="2">
        <v>468</v>
      </c>
      <c r="B1403" s="3" t="s">
        <v>1031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8</v>
      </c>
    </row>
    <row r="1406" spans="1:7" ht="264" customHeight="1">
      <c r="A1406" s="2">
        <v>469</v>
      </c>
      <c r="B1406" s="3" t="s">
        <v>1032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8</v>
      </c>
    </row>
    <row r="1409" spans="1:7" ht="264" customHeight="1">
      <c r="A1409" s="2">
        <v>470</v>
      </c>
      <c r="B1409" s="3" t="s">
        <v>1033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8</v>
      </c>
    </row>
    <row r="1412" spans="1:7" ht="264" customHeight="1">
      <c r="A1412" s="2">
        <v>471</v>
      </c>
      <c r="B1412" s="3" t="s">
        <v>1034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8</v>
      </c>
    </row>
    <row r="1415" spans="1:7" ht="264" customHeight="1">
      <c r="A1415" s="2">
        <v>472</v>
      </c>
      <c r="B1415" s="3" t="s">
        <v>1035</v>
      </c>
      <c r="C1415">
        <f>IMAGE("https://raw.githubusercontent.com/stautonico/tcg-livingdex/main/images/472/1.png", 2)</f>
        <v>0</v>
      </c>
      <c r="D1415">
        <f>IMAGE("https://raw.githubusercontent.com/stautonico/tcg-livingdex/main/images/472/2.png", 2)</f>
        <v>0</v>
      </c>
      <c r="E1415">
        <f>IMAGE("https://raw.githubusercontent.com/stautonico/tcg-livingdex/main/images/472/3.png", 2)</f>
        <v>0</v>
      </c>
      <c r="F1415">
        <f>IMAGE("https://raw.githubusercontent.com/stautonico/tcg-livingdex/main/images/472/4.png", 2)</f>
        <v>0</v>
      </c>
      <c r="G1415" t="s">
        <v>9</v>
      </c>
    </row>
    <row r="1416" spans="1:7">
      <c r="C1416" s="4" t="s">
        <v>1036</v>
      </c>
      <c r="D1416" s="4" t="s">
        <v>1037</v>
      </c>
      <c r="E1416" s="4" t="s">
        <v>1038</v>
      </c>
      <c r="F1416" s="4" t="s">
        <v>1039</v>
      </c>
    </row>
    <row r="1418" spans="1:7" ht="264" customHeight="1">
      <c r="A1418" s="2">
        <v>473</v>
      </c>
      <c r="B1418" s="3" t="s">
        <v>1040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8</v>
      </c>
    </row>
    <row r="1421" spans="1:7" ht="264" customHeight="1">
      <c r="A1421" s="2">
        <v>474</v>
      </c>
      <c r="B1421" s="3" t="s">
        <v>1041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8</v>
      </c>
    </row>
    <row r="1424" spans="1:7" ht="264" customHeight="1">
      <c r="A1424" s="2">
        <v>475</v>
      </c>
      <c r="B1424" s="3" t="s">
        <v>1042</v>
      </c>
      <c r="C1424">
        <f>IMAGE("https://raw.githubusercontent.com/stautonico/tcg-livingdex/main/images/475/1.png", 2)</f>
        <v>0</v>
      </c>
      <c r="D1424">
        <f>IMAGE("https://raw.githubusercontent.com/stautonico/tcg-livingdex/main/images/475/2.png", 2)</f>
        <v>0</v>
      </c>
      <c r="E1424">
        <f>IMAGE("https://raw.githubusercontent.com/stautonico/tcg-livingdex/main/images/475/3.png", 2)</f>
        <v>0</v>
      </c>
      <c r="F1424">
        <f>IMAGE("https://raw.githubusercontent.com/stautonico/tcg-livingdex/main/images/475/4.png", 2)</f>
        <v>0</v>
      </c>
      <c r="G1424" t="s">
        <v>9</v>
      </c>
    </row>
    <row r="1425" spans="1:7">
      <c r="C1425" s="4" t="s">
        <v>1043</v>
      </c>
      <c r="D1425" s="4" t="s">
        <v>1044</v>
      </c>
      <c r="E1425" s="4" t="s">
        <v>1045</v>
      </c>
      <c r="F1425" s="4" t="s">
        <v>1046</v>
      </c>
    </row>
    <row r="1427" spans="1:7" ht="264" customHeight="1">
      <c r="A1427" s="2">
        <v>476</v>
      </c>
      <c r="B1427" s="3" t="s">
        <v>1047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1048</v>
      </c>
    </row>
    <row r="1430" spans="1:7" ht="264" customHeight="1">
      <c r="A1430" s="2">
        <v>477</v>
      </c>
      <c r="B1430" s="3" t="s">
        <v>1049</v>
      </c>
      <c r="C1430">
        <f>IMAGE("https://raw.githubusercontent.com/stautonico/tcg-livingdex/main/images/477/1.png", 2)</f>
        <v>0</v>
      </c>
      <c r="D1430">
        <f>IMAGE("https://raw.githubusercontent.com/stautonico/tcg-livingdex/main/images/477/2.png", 2)</f>
        <v>0</v>
      </c>
      <c r="E1430">
        <f>IMAGE("https://raw.githubusercontent.com/stautonico/tcg-livingdex/main/images/477/3.png", 2)</f>
        <v>0</v>
      </c>
      <c r="F1430">
        <f>IMAGE("https://raw.githubusercontent.com/stautonico/tcg-livingdex/main/images/477/4.png", 2)</f>
        <v>0</v>
      </c>
      <c r="G1430" t="s">
        <v>9</v>
      </c>
    </row>
    <row r="1431" spans="1:7">
      <c r="C1431" s="4" t="s">
        <v>786</v>
      </c>
      <c r="D1431" s="4" t="s">
        <v>1050</v>
      </c>
      <c r="E1431" s="4" t="s">
        <v>1051</v>
      </c>
      <c r="F1431" s="4" t="s">
        <v>1052</v>
      </c>
    </row>
    <row r="1433" spans="1:7" ht="264" customHeight="1">
      <c r="A1433" s="2">
        <v>478</v>
      </c>
      <c r="B1433" s="3" t="s">
        <v>1053</v>
      </c>
      <c r="C1433">
        <f>IMAGE("https://raw.githubusercontent.com/stautonico/tcg-livingdex/main/images/478/1.png", 2)</f>
        <v>0</v>
      </c>
      <c r="D1433">
        <f>IMAGE("https://raw.githubusercontent.com/stautonico/tcg-livingdex/main/images/478/2.png", 2)</f>
        <v>0</v>
      </c>
      <c r="G1433" t="s">
        <v>9</v>
      </c>
    </row>
    <row r="1434" spans="1:7">
      <c r="C1434" s="4" t="s">
        <v>1054</v>
      </c>
      <c r="D1434" s="4" t="s">
        <v>1055</v>
      </c>
    </row>
    <row r="1436" spans="1:7" ht="264" customHeight="1">
      <c r="A1436" s="2">
        <v>479</v>
      </c>
      <c r="B1436" s="3" t="s">
        <v>1056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8</v>
      </c>
    </row>
    <row r="1439" spans="1:7" ht="264" customHeight="1">
      <c r="A1439" s="2">
        <v>480</v>
      </c>
      <c r="B1439" s="3" t="s">
        <v>1057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8</v>
      </c>
    </row>
    <row r="1442" spans="1:7" ht="264" customHeight="1">
      <c r="A1442" s="2">
        <v>481</v>
      </c>
      <c r="B1442" s="3" t="s">
        <v>1058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8</v>
      </c>
    </row>
    <row r="1445" spans="1:7" ht="264" customHeight="1">
      <c r="A1445" s="2">
        <v>482</v>
      </c>
      <c r="B1445" s="3" t="s">
        <v>1059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8</v>
      </c>
    </row>
    <row r="1448" spans="1:7" ht="264" customHeight="1">
      <c r="A1448" s="2">
        <v>483</v>
      </c>
      <c r="B1448" s="3" t="s">
        <v>1060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8</v>
      </c>
    </row>
    <row r="1451" spans="1:7" ht="264" customHeight="1">
      <c r="A1451" s="2">
        <v>484</v>
      </c>
      <c r="B1451" s="3" t="s">
        <v>1061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8</v>
      </c>
    </row>
    <row r="1454" spans="1:7" ht="264" customHeight="1">
      <c r="A1454" s="2">
        <v>485</v>
      </c>
      <c r="B1454" s="3" t="s">
        <v>1062</v>
      </c>
      <c r="C1454">
        <f>IMAGE("https://raw.githubusercontent.com/stautonico/tcg-livingdex/main/images/485/1.png", 2)</f>
        <v>0</v>
      </c>
      <c r="D1454">
        <f>IMAGE("https://raw.githubusercontent.com/stautonico/tcg-livingdex/main/images/485/2.png", 2)</f>
        <v>0</v>
      </c>
      <c r="E1454">
        <f>IMAGE("https://raw.githubusercontent.com/stautonico/tcg-livingdex/main/images/485/3.png", 2)</f>
        <v>0</v>
      </c>
      <c r="F1454">
        <f>IMAGE("https://raw.githubusercontent.com/stautonico/tcg-livingdex/main/images/485/4.png", 2)</f>
        <v>0</v>
      </c>
      <c r="G1454" t="s">
        <v>9</v>
      </c>
    </row>
    <row r="1455" spans="1:7">
      <c r="C1455" s="4" t="s">
        <v>1063</v>
      </c>
      <c r="D1455" s="4" t="s">
        <v>1064</v>
      </c>
      <c r="E1455" s="4" t="s">
        <v>1065</v>
      </c>
      <c r="F1455" s="4" t="s">
        <v>1066</v>
      </c>
    </row>
    <row r="1457" spans="1:7" ht="264" customHeight="1">
      <c r="A1457" s="2">
        <v>486</v>
      </c>
      <c r="B1457" s="3" t="s">
        <v>1067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8</v>
      </c>
    </row>
    <row r="1460" spans="1:7" ht="264" customHeight="1">
      <c r="A1460" s="2">
        <v>487</v>
      </c>
      <c r="B1460" s="3" t="s">
        <v>1068</v>
      </c>
      <c r="C1460">
        <f>IMAGE("https://raw.githubusercontent.com/stautonico/tcg-livingdex/main/images/487/1.png", 2)</f>
        <v>0</v>
      </c>
      <c r="D1460">
        <f>IMAGE("https://raw.githubusercontent.com/stautonico/tcg-livingdex/main/images/487/2.png", 2)</f>
        <v>0</v>
      </c>
      <c r="E1460">
        <f>IMAGE("https://raw.githubusercontent.com/stautonico/tcg-livingdex/main/images/487/3.png", 2)</f>
        <v>0</v>
      </c>
      <c r="F1460">
        <f>IMAGE("https://raw.githubusercontent.com/stautonico/tcg-livingdex/main/images/487/4.png", 2)</f>
        <v>0</v>
      </c>
      <c r="G1460" t="s">
        <v>9</v>
      </c>
    </row>
    <row r="1461" spans="1:7">
      <c r="C1461" s="4" t="s">
        <v>1069</v>
      </c>
      <c r="D1461" s="4" t="s">
        <v>1070</v>
      </c>
      <c r="E1461" s="4" t="s">
        <v>1071</v>
      </c>
      <c r="F1461" s="4" t="s">
        <v>1072</v>
      </c>
    </row>
    <row r="1463" spans="1:7" ht="264" customHeight="1">
      <c r="A1463" s="2">
        <v>488</v>
      </c>
      <c r="B1463" s="3" t="s">
        <v>1073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8</v>
      </c>
    </row>
    <row r="1466" spans="1:7" ht="264" customHeight="1">
      <c r="A1466" s="2">
        <v>489</v>
      </c>
      <c r="B1466" s="3" t="s">
        <v>1074</v>
      </c>
      <c r="C1466">
        <f>IMAGE("https://raw.githubusercontent.com/stautonico/tcg-livingdex/main/images/489/1.png", 2)</f>
        <v>0</v>
      </c>
      <c r="D1466">
        <f>IMAGE("https://raw.githubusercontent.com/stautonico/tcg-livingdex/main/images/489/2.png", 2)</f>
        <v>0</v>
      </c>
      <c r="E1466">
        <f>IMAGE("https://raw.githubusercontent.com/stautonico/tcg-livingdex/main/images/489/3.png", 2)</f>
        <v>0</v>
      </c>
      <c r="F1466">
        <f>IMAGE("https://raw.githubusercontent.com/stautonico/tcg-livingdex/main/images/489/4.png", 2)</f>
        <v>0</v>
      </c>
      <c r="G1466" t="s">
        <v>9</v>
      </c>
    </row>
    <row r="1467" spans="1:7">
      <c r="C1467" s="4" t="s">
        <v>1075</v>
      </c>
      <c r="D1467" s="4" t="s">
        <v>1076</v>
      </c>
      <c r="E1467" s="4" t="s">
        <v>1077</v>
      </c>
      <c r="F1467" s="4" t="s">
        <v>1078</v>
      </c>
    </row>
    <row r="1469" spans="1:7" ht="264" customHeight="1">
      <c r="A1469" s="2">
        <v>490</v>
      </c>
      <c r="B1469" s="3" t="s">
        <v>1079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8</v>
      </c>
    </row>
    <row r="1472" spans="1:7" ht="264" customHeight="1">
      <c r="A1472" s="2">
        <v>491</v>
      </c>
      <c r="B1472" s="3" t="s">
        <v>1080</v>
      </c>
      <c r="C1472">
        <f>IMAGE("https://raw.githubusercontent.com/stautonico/tcg-livingdex/main/images/491/1.png", 2)</f>
        <v>0</v>
      </c>
      <c r="D1472">
        <f>IMAGE("https://raw.githubusercontent.com/stautonico/tcg-livingdex/main/images/491/2.png", 2)</f>
        <v>0</v>
      </c>
      <c r="E1472">
        <f>IMAGE("https://raw.githubusercontent.com/stautonico/tcg-livingdex/main/images/491/3.png", 2)</f>
        <v>0</v>
      </c>
      <c r="F1472">
        <f>IMAGE("https://raw.githubusercontent.com/stautonico/tcg-livingdex/main/images/491/4.png", 2)</f>
        <v>0</v>
      </c>
      <c r="G1472" t="s">
        <v>9</v>
      </c>
    </row>
    <row r="1473" spans="1:7">
      <c r="C1473" s="4" t="s">
        <v>1081</v>
      </c>
      <c r="D1473" s="4" t="s">
        <v>1082</v>
      </c>
      <c r="E1473" s="4" t="s">
        <v>1083</v>
      </c>
      <c r="F1473" s="4" t="s">
        <v>1084</v>
      </c>
    </row>
    <row r="1475" spans="1:7" ht="264" customHeight="1">
      <c r="A1475" s="2">
        <v>492</v>
      </c>
      <c r="B1475" s="3" t="s">
        <v>1085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8</v>
      </c>
    </row>
    <row r="1478" spans="1:7" ht="264" customHeight="1">
      <c r="A1478" s="2">
        <v>493</v>
      </c>
      <c r="B1478" s="3" t="s">
        <v>1086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8</v>
      </c>
    </row>
    <row r="1481" spans="1:7" ht="264" customHeight="1">
      <c r="A1481" s="2">
        <v>494</v>
      </c>
      <c r="B1481" s="3" t="s">
        <v>1087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8</v>
      </c>
    </row>
    <row r="1484" spans="1:7" ht="264" customHeight="1">
      <c r="A1484" s="2">
        <v>495</v>
      </c>
      <c r="B1484" s="3" t="s">
        <v>1088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8</v>
      </c>
    </row>
    <row r="1487" spans="1:7" ht="264" customHeight="1">
      <c r="A1487" s="2">
        <v>496</v>
      </c>
      <c r="B1487" s="3" t="s">
        <v>1089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8</v>
      </c>
    </row>
    <row r="1490" spans="1:7" ht="264" customHeight="1">
      <c r="A1490" s="2">
        <v>497</v>
      </c>
      <c r="B1490" s="3" t="s">
        <v>1090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8</v>
      </c>
    </row>
    <row r="1493" spans="1:7" ht="264" customHeight="1">
      <c r="A1493" s="2">
        <v>498</v>
      </c>
      <c r="B1493" s="3" t="s">
        <v>1091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8</v>
      </c>
    </row>
    <row r="1496" spans="1:7" ht="264" customHeight="1">
      <c r="A1496" s="2">
        <v>499</v>
      </c>
      <c r="B1496" s="3" t="s">
        <v>1092</v>
      </c>
      <c r="C1496">
        <f>IMAGE("https://raw.githubusercontent.com/stautonico/tcg-livingdex/main/images/499/1.png", 2)</f>
        <v>0</v>
      </c>
      <c r="D1496">
        <f>IMAGE("https://raw.githubusercontent.com/stautonico/tcg-livingdex/main/images/499/2.png", 2)</f>
        <v>0</v>
      </c>
      <c r="E1496">
        <f>IMAGE("https://raw.githubusercontent.com/stautonico/tcg-livingdex/main/images/499/3.png", 2)</f>
        <v>0</v>
      </c>
      <c r="F1496">
        <f>IMAGE("https://raw.githubusercontent.com/stautonico/tcg-livingdex/main/images/499/4.png", 2)</f>
        <v>0</v>
      </c>
      <c r="G1496" t="s">
        <v>9</v>
      </c>
    </row>
    <row r="1497" spans="1:7">
      <c r="C1497" s="4" t="s">
        <v>1093</v>
      </c>
      <c r="D1497" s="4" t="s">
        <v>1094</v>
      </c>
      <c r="E1497" s="4" t="s">
        <v>1095</v>
      </c>
      <c r="F1497" s="4" t="s">
        <v>1096</v>
      </c>
    </row>
    <row r="1499" spans="1:7" ht="264" customHeight="1">
      <c r="A1499" s="2">
        <v>500</v>
      </c>
      <c r="B1499" s="3" t="s">
        <v>1097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8</v>
      </c>
    </row>
    <row r="1502" spans="1:7" ht="264" customHeight="1">
      <c r="A1502" s="2">
        <v>501</v>
      </c>
      <c r="B1502" s="3" t="s">
        <v>1098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8</v>
      </c>
    </row>
    <row r="1505" spans="1:7" ht="264" customHeight="1">
      <c r="A1505" s="2">
        <v>502</v>
      </c>
      <c r="B1505" s="3" t="s">
        <v>1099</v>
      </c>
      <c r="C1505">
        <f>IMAGE("https://raw.githubusercontent.com/stautonico/tcg-livingdex/main/images/502/1.png", 2)</f>
        <v>0</v>
      </c>
      <c r="D1505">
        <f>IMAGE("https://raw.githubusercontent.com/stautonico/tcg-livingdex/main/images/502/2.png", 2)</f>
        <v>0</v>
      </c>
      <c r="E1505">
        <f>IMAGE("https://raw.githubusercontent.com/stautonico/tcg-livingdex/main/images/502/3.png", 2)</f>
        <v>0</v>
      </c>
      <c r="F1505">
        <f>IMAGE("https://raw.githubusercontent.com/stautonico/tcg-livingdex/main/images/502/4.png", 2)</f>
        <v>0</v>
      </c>
      <c r="G1505" t="s">
        <v>9</v>
      </c>
    </row>
    <row r="1506" spans="1:7">
      <c r="C1506" s="4" t="s">
        <v>1100</v>
      </c>
      <c r="D1506" s="4" t="s">
        <v>1101</v>
      </c>
      <c r="E1506" s="4" t="s">
        <v>1102</v>
      </c>
      <c r="F1506" s="4" t="s">
        <v>1103</v>
      </c>
    </row>
    <row r="1508" spans="1:7" ht="264" customHeight="1">
      <c r="A1508" s="2">
        <v>503</v>
      </c>
      <c r="B1508" s="3" t="s">
        <v>1104</v>
      </c>
      <c r="C1508">
        <f>IMAGE("https://raw.githubusercontent.com/stautonico/tcg-livingdex/main/images/503/1.png", 2)</f>
        <v>0</v>
      </c>
      <c r="D1508">
        <f>IMAGE("https://raw.githubusercontent.com/stautonico/tcg-livingdex/main/images/503/2.png", 2)</f>
        <v>0</v>
      </c>
      <c r="E1508">
        <f>IMAGE("https://raw.githubusercontent.com/stautonico/tcg-livingdex/main/images/503/3.png", 2)</f>
        <v>0</v>
      </c>
      <c r="F1508">
        <f>IMAGE("https://raw.githubusercontent.com/stautonico/tcg-livingdex/main/images/503/4.png", 2)</f>
        <v>0</v>
      </c>
      <c r="G1508" t="s">
        <v>9</v>
      </c>
    </row>
    <row r="1509" spans="1:7">
      <c r="C1509" s="4" t="s">
        <v>1105</v>
      </c>
      <c r="D1509" s="4" t="s">
        <v>1106</v>
      </c>
      <c r="E1509" s="4" t="s">
        <v>1107</v>
      </c>
      <c r="F1509" s="4" t="s">
        <v>1108</v>
      </c>
    </row>
    <row r="1511" spans="1:7" ht="264" customHeight="1">
      <c r="A1511" s="2">
        <v>504</v>
      </c>
      <c r="B1511" s="3" t="s">
        <v>1109</v>
      </c>
      <c r="C1511">
        <f>IMAGE("https://raw.githubusercontent.com/stautonico/tcg-livingdex/main/images/504/1.png", 2)</f>
        <v>0</v>
      </c>
      <c r="D1511">
        <f>IMAGE("https://raw.githubusercontent.com/stautonico/tcg-livingdex/main/images/504/2.png", 2)</f>
        <v>0</v>
      </c>
      <c r="E1511">
        <f>IMAGE("https://raw.githubusercontent.com/stautonico/tcg-livingdex/main/images/504/3.png", 2)</f>
        <v>0</v>
      </c>
      <c r="F1511">
        <f>IMAGE("https://raw.githubusercontent.com/stautonico/tcg-livingdex/main/images/504/4.png", 2)</f>
        <v>0</v>
      </c>
      <c r="G1511" t="s">
        <v>9</v>
      </c>
    </row>
    <row r="1512" spans="1:7">
      <c r="C1512" s="4" t="s">
        <v>1110</v>
      </c>
      <c r="D1512" s="4" t="s">
        <v>1111</v>
      </c>
      <c r="E1512" s="4" t="s">
        <v>1112</v>
      </c>
      <c r="F1512" s="4" t="s">
        <v>1113</v>
      </c>
    </row>
    <row r="1514" spans="1:7" ht="264" customHeight="1">
      <c r="A1514" s="2">
        <v>505</v>
      </c>
      <c r="B1514" s="3" t="s">
        <v>1114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8</v>
      </c>
    </row>
    <row r="1517" spans="1:7" ht="264" customHeight="1">
      <c r="A1517" s="2">
        <v>506</v>
      </c>
      <c r="B1517" s="3" t="s">
        <v>1115</v>
      </c>
      <c r="C1517">
        <f>IMAGE("https://raw.githubusercontent.com/stautonico/tcg-livingdex/main/images/506/1.png", 2)</f>
        <v>0</v>
      </c>
      <c r="D1517">
        <f>IMAGE("https://raw.githubusercontent.com/stautonico/tcg-livingdex/main/images/506/2.png", 2)</f>
        <v>0</v>
      </c>
      <c r="E1517">
        <f>IMAGE("https://raw.githubusercontent.com/stautonico/tcg-livingdex/main/images/506/3.png", 2)</f>
        <v>0</v>
      </c>
      <c r="F1517">
        <f>IMAGE("https://raw.githubusercontent.com/stautonico/tcg-livingdex/main/images/506/4.png", 2)</f>
        <v>0</v>
      </c>
      <c r="G1517" t="s">
        <v>9</v>
      </c>
    </row>
    <row r="1518" spans="1:7">
      <c r="C1518" s="4" t="s">
        <v>1116</v>
      </c>
      <c r="D1518" s="4" t="s">
        <v>1117</v>
      </c>
      <c r="E1518" s="4" t="s">
        <v>1118</v>
      </c>
      <c r="F1518" s="4" t="s">
        <v>1119</v>
      </c>
    </row>
    <row r="1520" spans="1:7" ht="264" customHeight="1">
      <c r="A1520" s="2">
        <v>507</v>
      </c>
      <c r="B1520" s="3" t="s">
        <v>1120</v>
      </c>
      <c r="C1520">
        <f>IMAGE("https://raw.githubusercontent.com/stautonico/tcg-livingdex/main/images/507/1.png", 2)</f>
        <v>0</v>
      </c>
      <c r="D1520">
        <f>IMAGE("https://raw.githubusercontent.com/stautonico/tcg-livingdex/main/images/507/2.png", 2)</f>
        <v>0</v>
      </c>
      <c r="E1520">
        <f>IMAGE("https://raw.githubusercontent.com/stautonico/tcg-livingdex/main/images/507/3.png", 2)</f>
        <v>0</v>
      </c>
      <c r="F1520">
        <f>IMAGE("https://raw.githubusercontent.com/stautonico/tcg-livingdex/main/images/507/4.png", 2)</f>
        <v>0</v>
      </c>
      <c r="G1520" t="s">
        <v>9</v>
      </c>
    </row>
    <row r="1521" spans="1:7">
      <c r="C1521" s="4" t="s">
        <v>1121</v>
      </c>
      <c r="D1521" s="4" t="s">
        <v>1122</v>
      </c>
      <c r="E1521" s="4" t="s">
        <v>1123</v>
      </c>
      <c r="F1521" s="4" t="s">
        <v>1124</v>
      </c>
    </row>
    <row r="1523" spans="1:7" ht="264" customHeight="1">
      <c r="A1523" s="2">
        <v>508</v>
      </c>
      <c r="B1523" s="3" t="s">
        <v>1125</v>
      </c>
      <c r="C1523">
        <f>IMAGE("https://raw.githubusercontent.com/stautonico/tcg-livingdex/main/images/508/1.png", 2)</f>
        <v>0</v>
      </c>
      <c r="D1523">
        <f>IMAGE("https://raw.githubusercontent.com/stautonico/tcg-livingdex/main/images/508/2.png", 2)</f>
        <v>0</v>
      </c>
      <c r="E1523">
        <f>IMAGE("https://raw.githubusercontent.com/stautonico/tcg-livingdex/main/images/508/3.png", 2)</f>
        <v>0</v>
      </c>
      <c r="F1523">
        <f>IMAGE("https://raw.githubusercontent.com/stautonico/tcg-livingdex/main/images/508/4.png", 2)</f>
        <v>0</v>
      </c>
      <c r="G1523" t="s">
        <v>9</v>
      </c>
    </row>
    <row r="1524" spans="1:7">
      <c r="C1524" s="4" t="s">
        <v>1126</v>
      </c>
      <c r="D1524" s="4" t="s">
        <v>1127</v>
      </c>
      <c r="E1524" s="4" t="s">
        <v>1128</v>
      </c>
      <c r="F1524" s="4" t="s">
        <v>1129</v>
      </c>
    </row>
    <row r="1526" spans="1:7" ht="264" customHeight="1">
      <c r="A1526" s="2">
        <v>509</v>
      </c>
      <c r="B1526" s="3" t="s">
        <v>1130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8</v>
      </c>
    </row>
    <row r="1529" spans="1:7" ht="264" customHeight="1">
      <c r="A1529" s="2">
        <v>510</v>
      </c>
      <c r="B1529" s="3" t="s">
        <v>1131</v>
      </c>
      <c r="C1529">
        <f>IMAGE("https://raw.githubusercontent.com/stautonico/tcg-livingdex/main/images/510/1.png", 2)</f>
        <v>0</v>
      </c>
      <c r="D1529">
        <f>IMAGE("https://raw.githubusercontent.com/stautonico/tcg-livingdex/main/images/510/2.png", 2)</f>
        <v>0</v>
      </c>
      <c r="E1529">
        <f>IMAGE("https://raw.githubusercontent.com/stautonico/tcg-livingdex/main/images/510/3.png", 2)</f>
        <v>0</v>
      </c>
      <c r="F1529">
        <f>IMAGE("https://raw.githubusercontent.com/stautonico/tcg-livingdex/main/images/510/4.png", 2)</f>
        <v>0</v>
      </c>
      <c r="G1529" t="s">
        <v>9</v>
      </c>
    </row>
    <row r="1530" spans="1:7">
      <c r="C1530" s="4" t="s">
        <v>1132</v>
      </c>
      <c r="D1530" s="4" t="s">
        <v>1133</v>
      </c>
      <c r="E1530" s="4" t="s">
        <v>1134</v>
      </c>
      <c r="F1530" s="4" t="s">
        <v>1135</v>
      </c>
    </row>
    <row r="1532" spans="1:7" ht="264" customHeight="1">
      <c r="A1532" s="2">
        <v>511</v>
      </c>
      <c r="B1532" s="3" t="s">
        <v>1136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8</v>
      </c>
    </row>
    <row r="1535" spans="1:7" ht="264" customHeight="1">
      <c r="A1535" s="2">
        <v>512</v>
      </c>
      <c r="B1535" s="3" t="s">
        <v>1137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8</v>
      </c>
    </row>
    <row r="1538" spans="1:7" ht="264" customHeight="1">
      <c r="A1538" s="2">
        <v>513</v>
      </c>
      <c r="B1538" s="3" t="s">
        <v>1138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8</v>
      </c>
    </row>
    <row r="1541" spans="1:7" ht="264" customHeight="1">
      <c r="A1541" s="2">
        <v>514</v>
      </c>
      <c r="B1541" s="3" t="s">
        <v>1139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8</v>
      </c>
    </row>
    <row r="1544" spans="1:7" ht="264" customHeight="1">
      <c r="A1544" s="2">
        <v>515</v>
      </c>
      <c r="B1544" s="3" t="s">
        <v>1140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8</v>
      </c>
    </row>
    <row r="1547" spans="1:7" ht="264" customHeight="1">
      <c r="A1547" s="2">
        <v>516</v>
      </c>
      <c r="B1547" s="3" t="s">
        <v>1141</v>
      </c>
      <c r="C1547">
        <f>IMAGE("https://raw.githubusercontent.com/stautonico/tcg-livingdex/main/images/516/1.png", 2)</f>
        <v>0</v>
      </c>
      <c r="D1547">
        <f>IMAGE("https://raw.githubusercontent.com/stautonico/tcg-livingdex/main/images/516/2.png", 2)</f>
        <v>0</v>
      </c>
      <c r="E1547">
        <f>IMAGE("https://raw.githubusercontent.com/stautonico/tcg-livingdex/main/images/516/3.png", 2)</f>
        <v>0</v>
      </c>
      <c r="F1547">
        <f>IMAGE("https://raw.githubusercontent.com/stautonico/tcg-livingdex/main/images/516/4.png", 2)</f>
        <v>0</v>
      </c>
      <c r="G1547" t="s">
        <v>9</v>
      </c>
    </row>
    <row r="1548" spans="1:7">
      <c r="C1548" s="4" t="s">
        <v>1142</v>
      </c>
      <c r="D1548" s="4" t="s">
        <v>1143</v>
      </c>
      <c r="E1548" s="4" t="s">
        <v>1144</v>
      </c>
      <c r="F1548" s="4" t="s">
        <v>1145</v>
      </c>
    </row>
    <row r="1550" spans="1:7" ht="264" customHeight="1">
      <c r="A1550" s="2">
        <v>517</v>
      </c>
      <c r="B1550" s="3" t="s">
        <v>1146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8</v>
      </c>
    </row>
    <row r="1553" spans="1:7" ht="264" customHeight="1">
      <c r="A1553" s="2">
        <v>518</v>
      </c>
      <c r="B1553" s="3" t="s">
        <v>1147</v>
      </c>
      <c r="C1553">
        <f>IMAGE("https://raw.githubusercontent.com/stautonico/tcg-livingdex/main/images/518/1.png", 2)</f>
        <v>0</v>
      </c>
      <c r="D1553">
        <f>IMAGE("https://raw.githubusercontent.com/stautonico/tcg-livingdex/main/images/518/2.png", 2)</f>
        <v>0</v>
      </c>
      <c r="E1553">
        <f>IMAGE("https://raw.githubusercontent.com/stautonico/tcg-livingdex/main/images/518/3.png", 2)</f>
        <v>0</v>
      </c>
      <c r="F1553">
        <f>IMAGE("https://raw.githubusercontent.com/stautonico/tcg-livingdex/main/images/518/4.png", 2)</f>
        <v>0</v>
      </c>
      <c r="G1553" t="s">
        <v>9</v>
      </c>
    </row>
    <row r="1554" spans="1:7">
      <c r="C1554" s="4" t="s">
        <v>1148</v>
      </c>
      <c r="D1554" s="4" t="s">
        <v>1149</v>
      </c>
      <c r="E1554" s="4" t="s">
        <v>1150</v>
      </c>
      <c r="F1554" s="4" t="s">
        <v>1151</v>
      </c>
    </row>
    <row r="1556" spans="1:7" ht="264" customHeight="1">
      <c r="A1556" s="2">
        <v>519</v>
      </c>
      <c r="B1556" s="3" t="s">
        <v>1152</v>
      </c>
      <c r="C1556">
        <f>IMAGE("https://raw.githubusercontent.com/stautonico/tcg-livingdex/main/images/519/1.png", 2)</f>
        <v>0</v>
      </c>
      <c r="D1556">
        <f>IMAGE("https://raw.githubusercontent.com/stautonico/tcg-livingdex/main/images/519/2.png", 2)</f>
        <v>0</v>
      </c>
      <c r="E1556">
        <f>IMAGE("https://raw.githubusercontent.com/stautonico/tcg-livingdex/main/images/519/3.png", 2)</f>
        <v>0</v>
      </c>
      <c r="F1556">
        <f>IMAGE("https://raw.githubusercontent.com/stautonico/tcg-livingdex/main/images/519/4.png", 2)</f>
        <v>0</v>
      </c>
      <c r="G1556" t="s">
        <v>9</v>
      </c>
    </row>
    <row r="1557" spans="1:7">
      <c r="C1557" s="4" t="s">
        <v>1153</v>
      </c>
      <c r="D1557" s="4" t="s">
        <v>1154</v>
      </c>
      <c r="E1557" s="4" t="s">
        <v>1155</v>
      </c>
      <c r="F1557" s="4" t="s">
        <v>1156</v>
      </c>
    </row>
    <row r="1559" spans="1:7" ht="264" customHeight="1">
      <c r="A1559" s="2">
        <v>520</v>
      </c>
      <c r="B1559" s="3" t="s">
        <v>1157</v>
      </c>
      <c r="C1559">
        <f>IMAGE("https://raw.githubusercontent.com/stautonico/tcg-livingdex/main/images/520/1.png", 2)</f>
        <v>0</v>
      </c>
      <c r="D1559">
        <f>IMAGE("https://raw.githubusercontent.com/stautonico/tcg-livingdex/main/images/520/2.png", 2)</f>
        <v>0</v>
      </c>
      <c r="E1559">
        <f>IMAGE("https://raw.githubusercontent.com/stautonico/tcg-livingdex/main/images/520/3.png", 2)</f>
        <v>0</v>
      </c>
      <c r="F1559">
        <f>IMAGE("https://raw.githubusercontent.com/stautonico/tcg-livingdex/main/images/520/4.png", 2)</f>
        <v>0</v>
      </c>
      <c r="G1559" t="s">
        <v>9</v>
      </c>
    </row>
    <row r="1560" spans="1:7">
      <c r="C1560" s="4" t="s">
        <v>1158</v>
      </c>
      <c r="D1560" s="4" t="s">
        <v>1159</v>
      </c>
      <c r="E1560" s="4" t="s">
        <v>1160</v>
      </c>
      <c r="F1560" s="4" t="s">
        <v>1161</v>
      </c>
    </row>
    <row r="1562" spans="1:7" ht="264" customHeight="1">
      <c r="A1562" s="2">
        <v>521</v>
      </c>
      <c r="B1562" s="3" t="s">
        <v>1162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8</v>
      </c>
    </row>
    <row r="1565" spans="1:7" ht="264" customHeight="1">
      <c r="A1565" s="2">
        <v>522</v>
      </c>
      <c r="B1565" s="3" t="s">
        <v>1163</v>
      </c>
      <c r="C1565">
        <f>IMAGE("https://raw.githubusercontent.com/stautonico/tcg-livingdex/main/images/522/1.png", 2)</f>
        <v>0</v>
      </c>
      <c r="D1565">
        <f>IMAGE("https://raw.githubusercontent.com/stautonico/tcg-livingdex/main/images/522/2.png", 2)</f>
        <v>0</v>
      </c>
      <c r="E1565">
        <f>IMAGE("https://raw.githubusercontent.com/stautonico/tcg-livingdex/main/images/522/3.png", 2)</f>
        <v>0</v>
      </c>
      <c r="F1565">
        <f>IMAGE("https://raw.githubusercontent.com/stautonico/tcg-livingdex/main/images/522/4.png", 2)</f>
        <v>0</v>
      </c>
      <c r="G1565" t="s">
        <v>9</v>
      </c>
    </row>
    <row r="1566" spans="1:7">
      <c r="C1566" s="4" t="s">
        <v>1164</v>
      </c>
      <c r="D1566" s="4" t="s">
        <v>1165</v>
      </c>
      <c r="E1566" s="4" t="s">
        <v>1166</v>
      </c>
      <c r="F1566" s="4" t="s">
        <v>1167</v>
      </c>
    </row>
    <row r="1568" spans="1:7" ht="264" customHeight="1">
      <c r="A1568" s="2">
        <v>523</v>
      </c>
      <c r="B1568" s="3" t="s">
        <v>1168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8</v>
      </c>
    </row>
    <row r="1571" spans="1:7" ht="264" customHeight="1">
      <c r="A1571" s="2">
        <v>524</v>
      </c>
      <c r="B1571" s="3" t="s">
        <v>1169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8</v>
      </c>
    </row>
    <row r="1574" spans="1:7" ht="264" customHeight="1">
      <c r="A1574" s="2">
        <v>525</v>
      </c>
      <c r="B1574" s="3" t="s">
        <v>1170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8</v>
      </c>
    </row>
    <row r="1577" spans="1:7" ht="264" customHeight="1">
      <c r="A1577" s="2">
        <v>526</v>
      </c>
      <c r="B1577" s="3" t="s">
        <v>1171</v>
      </c>
      <c r="C1577">
        <f>IMAGE("https://raw.githubusercontent.com/stautonico/tcg-livingdex/main/images/526/1.png", 2)</f>
        <v>0</v>
      </c>
      <c r="D1577">
        <f>IMAGE("https://raw.githubusercontent.com/stautonico/tcg-livingdex/main/images/526/2.png", 2)</f>
        <v>0</v>
      </c>
      <c r="E1577">
        <f>IMAGE("https://raw.githubusercontent.com/stautonico/tcg-livingdex/main/images/526/3.png", 2)</f>
        <v>0</v>
      </c>
      <c r="F1577">
        <f>IMAGE("https://raw.githubusercontent.com/stautonico/tcg-livingdex/main/images/526/4.png", 2)</f>
        <v>0</v>
      </c>
      <c r="G1577" t="s">
        <v>9</v>
      </c>
    </row>
    <row r="1578" spans="1:7">
      <c r="C1578" s="4" t="s">
        <v>1172</v>
      </c>
      <c r="D1578" s="4" t="s">
        <v>1173</v>
      </c>
      <c r="E1578" s="4" t="s">
        <v>1174</v>
      </c>
      <c r="F1578" s="4" t="s">
        <v>1175</v>
      </c>
    </row>
    <row r="1580" spans="1:7" ht="264" customHeight="1">
      <c r="A1580" s="2">
        <v>527</v>
      </c>
      <c r="B1580" s="3" t="s">
        <v>1176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8</v>
      </c>
    </row>
    <row r="1583" spans="1:7" ht="264" customHeight="1">
      <c r="A1583" s="2">
        <v>528</v>
      </c>
      <c r="B1583" s="3" t="s">
        <v>1177</v>
      </c>
      <c r="C1583">
        <f>IMAGE("https://raw.githubusercontent.com/stautonico/tcg-livingdex/main/images/528/1.png", 2)</f>
        <v>0</v>
      </c>
      <c r="D1583">
        <f>IMAGE("https://raw.githubusercontent.com/stautonico/tcg-livingdex/main/images/528/2.png", 2)</f>
        <v>0</v>
      </c>
      <c r="E1583">
        <f>IMAGE("https://raw.githubusercontent.com/stautonico/tcg-livingdex/main/images/528/3.png", 2)</f>
        <v>0</v>
      </c>
      <c r="F1583">
        <f>IMAGE("https://raw.githubusercontent.com/stautonico/tcg-livingdex/main/images/528/4.png", 2)</f>
        <v>0</v>
      </c>
      <c r="G1583" t="s">
        <v>9</v>
      </c>
    </row>
    <row r="1584" spans="1:7">
      <c r="C1584" s="4" t="s">
        <v>1178</v>
      </c>
      <c r="D1584" s="4" t="s">
        <v>1179</v>
      </c>
      <c r="E1584" s="4" t="s">
        <v>1180</v>
      </c>
      <c r="F1584" s="4" t="s">
        <v>1181</v>
      </c>
    </row>
    <row r="1586" spans="1:7" ht="264" customHeight="1">
      <c r="A1586" s="2">
        <v>529</v>
      </c>
      <c r="B1586" s="3" t="s">
        <v>1182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8</v>
      </c>
    </row>
    <row r="1589" spans="1:7" ht="264" customHeight="1">
      <c r="A1589" s="2">
        <v>530</v>
      </c>
      <c r="B1589" s="3" t="s">
        <v>1183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8</v>
      </c>
    </row>
    <row r="1592" spans="1:7" ht="264" customHeight="1">
      <c r="A1592" s="2">
        <v>531</v>
      </c>
      <c r="B1592" s="3" t="s">
        <v>1184</v>
      </c>
      <c r="C1592">
        <f>IMAGE("https://raw.githubusercontent.com/stautonico/tcg-livingdex/main/images/531/1.png", 2)</f>
        <v>0</v>
      </c>
      <c r="D1592">
        <f>IMAGE("https://raw.githubusercontent.com/stautonico/tcg-livingdex/main/images/531/2.png", 2)</f>
        <v>0</v>
      </c>
      <c r="E1592">
        <f>IMAGE("https://raw.githubusercontent.com/stautonico/tcg-livingdex/main/images/531/3.png", 2)</f>
        <v>0</v>
      </c>
      <c r="F1592">
        <f>IMAGE("https://raw.githubusercontent.com/stautonico/tcg-livingdex/main/images/531/4.png", 2)</f>
        <v>0</v>
      </c>
      <c r="G1592" t="s">
        <v>9</v>
      </c>
    </row>
    <row r="1593" spans="1:7">
      <c r="C1593" s="4" t="s">
        <v>1185</v>
      </c>
      <c r="D1593" s="4" t="s">
        <v>1186</v>
      </c>
      <c r="E1593" s="4" t="s">
        <v>1187</v>
      </c>
      <c r="F1593" s="4" t="s">
        <v>1188</v>
      </c>
    </row>
    <row r="1595" spans="1:7" ht="264" customHeight="1">
      <c r="A1595" s="2">
        <v>532</v>
      </c>
      <c r="B1595" s="3" t="s">
        <v>1189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8</v>
      </c>
    </row>
    <row r="1598" spans="1:7" ht="264" customHeight="1">
      <c r="A1598" s="2">
        <v>533</v>
      </c>
      <c r="B1598" s="3" t="s">
        <v>1190</v>
      </c>
      <c r="C1598">
        <f>IMAGE("https://raw.githubusercontent.com/stautonico/tcg-livingdex/main/images/533/1.png", 2)</f>
        <v>0</v>
      </c>
      <c r="D1598">
        <f>IMAGE("https://raw.githubusercontent.com/stautonico/tcg-livingdex/main/images/533/2.png", 2)</f>
        <v>0</v>
      </c>
      <c r="E1598">
        <f>IMAGE("https://raw.githubusercontent.com/stautonico/tcg-livingdex/main/images/533/3.png", 2)</f>
        <v>0</v>
      </c>
      <c r="F1598">
        <f>IMAGE("https://raw.githubusercontent.com/stautonico/tcg-livingdex/main/images/533/4.png", 2)</f>
        <v>0</v>
      </c>
      <c r="G1598" t="s">
        <v>9</v>
      </c>
    </row>
    <row r="1599" spans="1:7">
      <c r="C1599" s="4" t="s">
        <v>1191</v>
      </c>
      <c r="D1599" s="4" t="s">
        <v>1192</v>
      </c>
      <c r="E1599" s="4" t="s">
        <v>1193</v>
      </c>
      <c r="F1599" s="4" t="s">
        <v>1194</v>
      </c>
    </row>
    <row r="1601" spans="1:7" ht="264" customHeight="1">
      <c r="A1601" s="2">
        <v>534</v>
      </c>
      <c r="B1601" s="3" t="s">
        <v>1195</v>
      </c>
      <c r="C1601">
        <f>IMAGE("https://raw.githubusercontent.com/stautonico/tcg-livingdex/main/images/534/1.png", 2)</f>
        <v>0</v>
      </c>
      <c r="D1601">
        <f>IMAGE("https://raw.githubusercontent.com/stautonico/tcg-livingdex/main/images/534/2.png", 2)</f>
        <v>0</v>
      </c>
      <c r="E1601">
        <f>IMAGE("https://raw.githubusercontent.com/stautonico/tcg-livingdex/main/images/534/3.png", 2)</f>
        <v>0</v>
      </c>
      <c r="F1601">
        <f>IMAGE("https://raw.githubusercontent.com/stautonico/tcg-livingdex/main/images/534/4.png", 2)</f>
        <v>0</v>
      </c>
      <c r="G1601" t="s">
        <v>9</v>
      </c>
    </row>
    <row r="1602" spans="1:7">
      <c r="C1602" s="4" t="s">
        <v>1196</v>
      </c>
      <c r="D1602" s="4" t="s">
        <v>1197</v>
      </c>
      <c r="E1602" s="4" t="s">
        <v>1198</v>
      </c>
      <c r="F1602" s="4" t="s">
        <v>1199</v>
      </c>
    </row>
    <row r="1604" spans="1:7" ht="264" customHeight="1">
      <c r="A1604" s="2">
        <v>535</v>
      </c>
      <c r="B1604" s="3" t="s">
        <v>1200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8</v>
      </c>
    </row>
    <row r="1607" spans="1:7" ht="264" customHeight="1">
      <c r="A1607" s="2">
        <v>536</v>
      </c>
      <c r="B1607" s="3" t="s">
        <v>1201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8</v>
      </c>
    </row>
    <row r="1610" spans="1:7" ht="264" customHeight="1">
      <c r="A1610" s="2">
        <v>537</v>
      </c>
      <c r="B1610" s="3" t="s">
        <v>1202</v>
      </c>
      <c r="C1610">
        <f>IMAGE("https://raw.githubusercontent.com/stautonico/tcg-livingdex/main/images/537/1.png", 2)</f>
        <v>0</v>
      </c>
      <c r="D1610">
        <f>IMAGE("https://raw.githubusercontent.com/stautonico/tcg-livingdex/main/images/537/2.png", 2)</f>
        <v>0</v>
      </c>
      <c r="E1610">
        <f>IMAGE("https://raw.githubusercontent.com/stautonico/tcg-livingdex/main/images/537/3.png", 2)</f>
        <v>0</v>
      </c>
      <c r="F1610">
        <f>IMAGE("https://raw.githubusercontent.com/stautonico/tcg-livingdex/main/images/537/4.png", 2)</f>
        <v>0</v>
      </c>
      <c r="G1610" t="s">
        <v>9</v>
      </c>
    </row>
    <row r="1611" spans="1:7">
      <c r="C1611" s="4" t="s">
        <v>1203</v>
      </c>
      <c r="D1611" s="4" t="s">
        <v>1204</v>
      </c>
      <c r="E1611" s="4" t="s">
        <v>1205</v>
      </c>
      <c r="F1611" s="4" t="s">
        <v>1206</v>
      </c>
    </row>
    <row r="1613" spans="1:7" ht="264" customHeight="1">
      <c r="A1613" s="2">
        <v>538</v>
      </c>
      <c r="B1613" s="3" t="s">
        <v>1207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8</v>
      </c>
    </row>
    <row r="1616" spans="1:7" ht="264" customHeight="1">
      <c r="A1616" s="2">
        <v>539</v>
      </c>
      <c r="B1616" s="3" t="s">
        <v>1208</v>
      </c>
      <c r="C1616">
        <f>IMAGE("https://raw.githubusercontent.com/stautonico/tcg-livingdex/main/images/539/1.png", 2)</f>
        <v>0</v>
      </c>
      <c r="D1616">
        <f>IMAGE("https://raw.githubusercontent.com/stautonico/tcg-livingdex/main/images/539/2.png", 2)</f>
        <v>0</v>
      </c>
      <c r="E1616">
        <f>IMAGE("https://raw.githubusercontent.com/stautonico/tcg-livingdex/main/images/539/3.png", 2)</f>
        <v>0</v>
      </c>
      <c r="F1616">
        <f>IMAGE("https://raw.githubusercontent.com/stautonico/tcg-livingdex/main/images/539/4.png", 2)</f>
        <v>0</v>
      </c>
      <c r="G1616" t="s">
        <v>9</v>
      </c>
    </row>
    <row r="1617" spans="1:7">
      <c r="C1617" s="4" t="s">
        <v>1209</v>
      </c>
      <c r="D1617" s="4" t="s">
        <v>1210</v>
      </c>
      <c r="E1617" s="4" t="s">
        <v>1211</v>
      </c>
      <c r="F1617" s="4" t="s">
        <v>1212</v>
      </c>
    </row>
    <row r="1619" spans="1:7" ht="264" customHeight="1">
      <c r="A1619" s="2">
        <v>540</v>
      </c>
      <c r="B1619" s="3" t="s">
        <v>1213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8</v>
      </c>
    </row>
    <row r="1622" spans="1:7" ht="264" customHeight="1">
      <c r="A1622" s="2">
        <v>541</v>
      </c>
      <c r="B1622" s="3" t="s">
        <v>1214</v>
      </c>
      <c r="C1622">
        <f>IMAGE("https://raw.githubusercontent.com/stautonico/tcg-livingdex/main/images/541/1.png", 2)</f>
        <v>0</v>
      </c>
      <c r="D1622">
        <f>IMAGE("https://raw.githubusercontent.com/stautonico/tcg-livingdex/main/images/541/2.png", 2)</f>
        <v>0</v>
      </c>
      <c r="E1622">
        <f>IMAGE("https://raw.githubusercontent.com/stautonico/tcg-livingdex/main/images/541/3.png", 2)</f>
        <v>0</v>
      </c>
      <c r="F1622">
        <f>IMAGE("https://raw.githubusercontent.com/stautonico/tcg-livingdex/main/images/541/4.png", 2)</f>
        <v>0</v>
      </c>
      <c r="G1622" t="s">
        <v>9</v>
      </c>
    </row>
    <row r="1623" spans="1:7">
      <c r="C1623" s="4" t="s">
        <v>1215</v>
      </c>
      <c r="D1623" s="4" t="s">
        <v>1216</v>
      </c>
      <c r="E1623" s="4" t="s">
        <v>1217</v>
      </c>
      <c r="F1623" s="4" t="s">
        <v>1218</v>
      </c>
    </row>
    <row r="1625" spans="1:7" ht="264" customHeight="1">
      <c r="A1625" s="2">
        <v>542</v>
      </c>
      <c r="B1625" s="3" t="s">
        <v>1219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8</v>
      </c>
    </row>
    <row r="1628" spans="1:7" ht="264" customHeight="1">
      <c r="A1628" s="2">
        <v>543</v>
      </c>
      <c r="B1628" s="3" t="s">
        <v>1220</v>
      </c>
      <c r="C1628">
        <f>IMAGE("https://raw.githubusercontent.com/stautonico/tcg-livingdex/main/images/543/1.png", 2)</f>
        <v>0</v>
      </c>
      <c r="D1628">
        <f>IMAGE("https://raw.githubusercontent.com/stautonico/tcg-livingdex/main/images/543/2.png", 2)</f>
        <v>0</v>
      </c>
      <c r="E1628">
        <f>IMAGE("https://raw.githubusercontent.com/stautonico/tcg-livingdex/main/images/543/3.png", 2)</f>
        <v>0</v>
      </c>
      <c r="F1628">
        <f>IMAGE("https://raw.githubusercontent.com/stautonico/tcg-livingdex/main/images/543/4.png", 2)</f>
        <v>0</v>
      </c>
      <c r="G1628" t="s">
        <v>9</v>
      </c>
    </row>
    <row r="1629" spans="1:7">
      <c r="C1629" s="4" t="s">
        <v>1221</v>
      </c>
      <c r="D1629" s="4" t="s">
        <v>1222</v>
      </c>
      <c r="E1629" s="4" t="s">
        <v>1223</v>
      </c>
      <c r="F1629" s="4" t="s">
        <v>1224</v>
      </c>
    </row>
    <row r="1631" spans="1:7" ht="264" customHeight="1">
      <c r="A1631" s="2">
        <v>544</v>
      </c>
      <c r="B1631" s="3" t="s">
        <v>1225</v>
      </c>
      <c r="C1631">
        <f>IMAGE("https://raw.githubusercontent.com/stautonico/tcg-livingdex/main/images/544/1.png", 2)</f>
        <v>0</v>
      </c>
      <c r="D1631">
        <f>IMAGE("https://raw.githubusercontent.com/stautonico/tcg-livingdex/main/images/544/2.png", 2)</f>
        <v>0</v>
      </c>
      <c r="E1631">
        <f>IMAGE("https://raw.githubusercontent.com/stautonico/tcg-livingdex/main/images/544/3.png", 2)</f>
        <v>0</v>
      </c>
      <c r="F1631">
        <f>IMAGE("https://raw.githubusercontent.com/stautonico/tcg-livingdex/main/images/544/4.png", 2)</f>
        <v>0</v>
      </c>
      <c r="G1631" t="s">
        <v>9</v>
      </c>
    </row>
    <row r="1632" spans="1:7">
      <c r="C1632" s="4" t="s">
        <v>1226</v>
      </c>
      <c r="D1632" s="4" t="s">
        <v>1227</v>
      </c>
      <c r="E1632" s="4" t="s">
        <v>1228</v>
      </c>
      <c r="F1632" s="4" t="s">
        <v>1229</v>
      </c>
    </row>
    <row r="1634" spans="1:7" ht="264" customHeight="1">
      <c r="A1634" s="2">
        <v>545</v>
      </c>
      <c r="B1634" s="3" t="s">
        <v>1230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8</v>
      </c>
    </row>
    <row r="1637" spans="1:7" ht="264" customHeight="1">
      <c r="A1637" s="2">
        <v>546</v>
      </c>
      <c r="B1637" s="3" t="s">
        <v>1231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8</v>
      </c>
    </row>
    <row r="1640" spans="1:7" ht="264" customHeight="1">
      <c r="A1640" s="2">
        <v>547</v>
      </c>
      <c r="B1640" s="3" t="s">
        <v>1232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8</v>
      </c>
    </row>
    <row r="1643" spans="1:7" ht="264" customHeight="1">
      <c r="A1643" s="2">
        <v>548</v>
      </c>
      <c r="B1643" s="3" t="s">
        <v>1233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8</v>
      </c>
    </row>
    <row r="1646" spans="1:7" ht="264" customHeight="1">
      <c r="A1646" s="2">
        <v>549</v>
      </c>
      <c r="B1646" s="3" t="s">
        <v>1234</v>
      </c>
      <c r="C1646">
        <f>IMAGE("https://raw.githubusercontent.com/stautonico/tcg-livingdex/main/images/549/1.png", 2)</f>
        <v>0</v>
      </c>
      <c r="D1646">
        <f>IMAGE("https://raw.githubusercontent.com/stautonico/tcg-livingdex/main/images/549/2.png", 2)</f>
        <v>0</v>
      </c>
      <c r="E1646">
        <f>IMAGE("https://raw.githubusercontent.com/stautonico/tcg-livingdex/main/images/549/3.png", 2)</f>
        <v>0</v>
      </c>
      <c r="F1646">
        <f>IMAGE("https://raw.githubusercontent.com/stautonico/tcg-livingdex/main/images/549/4.png", 2)</f>
        <v>0</v>
      </c>
      <c r="G1646" t="s">
        <v>9</v>
      </c>
    </row>
    <row r="1647" spans="1:7">
      <c r="C1647" s="4" t="s">
        <v>1235</v>
      </c>
      <c r="D1647" s="4" t="s">
        <v>1236</v>
      </c>
      <c r="E1647" s="4" t="s">
        <v>1237</v>
      </c>
      <c r="F1647" s="4" t="s">
        <v>1238</v>
      </c>
    </row>
    <row r="1649" spans="1:7" ht="264" customHeight="1">
      <c r="A1649" s="2">
        <v>550</v>
      </c>
      <c r="B1649" s="3" t="s">
        <v>1239</v>
      </c>
      <c r="C1649">
        <f>IMAGE("https://raw.githubusercontent.com/stautonico/tcg-livingdex/main/images/550/1.png", 2)</f>
        <v>0</v>
      </c>
      <c r="D1649">
        <f>IMAGE("https://raw.githubusercontent.com/stautonico/tcg-livingdex/main/images/550/2.png", 2)</f>
        <v>0</v>
      </c>
      <c r="E1649">
        <f>IMAGE("https://raw.githubusercontent.com/stautonico/tcg-livingdex/main/images/550/3.png", 2)</f>
        <v>0</v>
      </c>
      <c r="F1649">
        <f>IMAGE("https://raw.githubusercontent.com/stautonico/tcg-livingdex/main/images/550/4.png", 2)</f>
        <v>0</v>
      </c>
      <c r="G1649" t="s">
        <v>9</v>
      </c>
    </row>
    <row r="1650" spans="1:7">
      <c r="C1650" s="4" t="s">
        <v>1240</v>
      </c>
      <c r="D1650" s="4" t="s">
        <v>1241</v>
      </c>
      <c r="E1650" s="4" t="s">
        <v>1242</v>
      </c>
      <c r="F1650" s="4" t="s">
        <v>1243</v>
      </c>
    </row>
    <row r="1652" spans="1:7" ht="264" customHeight="1">
      <c r="A1652" s="2">
        <v>551</v>
      </c>
      <c r="B1652" s="3" t="s">
        <v>1244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8</v>
      </c>
    </row>
    <row r="1655" spans="1:7" ht="264" customHeight="1">
      <c r="A1655" s="2">
        <v>552</v>
      </c>
      <c r="B1655" s="3" t="s">
        <v>1245</v>
      </c>
      <c r="C1655">
        <f>IMAGE("https://raw.githubusercontent.com/stautonico/tcg-livingdex/main/images/552/1.png", 2)</f>
        <v>0</v>
      </c>
      <c r="D1655">
        <f>IMAGE("https://raw.githubusercontent.com/stautonico/tcg-livingdex/main/images/552/2.png", 2)</f>
        <v>0</v>
      </c>
      <c r="E1655">
        <f>IMAGE("https://raw.githubusercontent.com/stautonico/tcg-livingdex/main/images/552/3.png", 2)</f>
        <v>0</v>
      </c>
      <c r="F1655">
        <f>IMAGE("https://raw.githubusercontent.com/stautonico/tcg-livingdex/main/images/552/4.png", 2)</f>
        <v>0</v>
      </c>
      <c r="G1655" t="s">
        <v>9</v>
      </c>
    </row>
    <row r="1656" spans="1:7">
      <c r="C1656" s="4" t="s">
        <v>1246</v>
      </c>
      <c r="D1656" s="4" t="s">
        <v>1247</v>
      </c>
      <c r="E1656" s="4" t="s">
        <v>1248</v>
      </c>
      <c r="F1656" s="4" t="s">
        <v>1249</v>
      </c>
    </row>
    <row r="1658" spans="1:7" ht="264" customHeight="1">
      <c r="A1658" s="2">
        <v>553</v>
      </c>
      <c r="B1658" s="3" t="s">
        <v>1250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8</v>
      </c>
    </row>
    <row r="1661" spans="1:7" ht="264" customHeight="1">
      <c r="A1661" s="2">
        <v>554</v>
      </c>
      <c r="B1661" s="3" t="s">
        <v>1251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8</v>
      </c>
    </row>
    <row r="1664" spans="1:7" ht="264" customHeight="1">
      <c r="A1664" s="2">
        <v>555</v>
      </c>
      <c r="B1664" s="3" t="s">
        <v>1252</v>
      </c>
      <c r="C1664">
        <f>IMAGE("https://raw.githubusercontent.com/stautonico/tcg-livingdex/main/images/555/1.png", 2)</f>
        <v>0</v>
      </c>
      <c r="D1664">
        <f>IMAGE("https://raw.githubusercontent.com/stautonico/tcg-livingdex/main/images/555/2.png", 2)</f>
        <v>0</v>
      </c>
      <c r="E1664">
        <f>IMAGE("https://raw.githubusercontent.com/stautonico/tcg-livingdex/main/images/555/3.png", 2)</f>
        <v>0</v>
      </c>
      <c r="F1664">
        <f>IMAGE("https://raw.githubusercontent.com/stautonico/tcg-livingdex/main/images/555/4.png", 2)</f>
        <v>0</v>
      </c>
      <c r="G1664" t="s">
        <v>9</v>
      </c>
    </row>
    <row r="1665" spans="1:7">
      <c r="C1665" s="4" t="s">
        <v>1253</v>
      </c>
      <c r="D1665" s="4" t="s">
        <v>1254</v>
      </c>
      <c r="E1665" s="4" t="s">
        <v>1255</v>
      </c>
      <c r="F1665" s="4" t="s">
        <v>1256</v>
      </c>
    </row>
    <row r="1667" spans="1:7" ht="264" customHeight="1">
      <c r="A1667" s="2">
        <v>556</v>
      </c>
      <c r="B1667" s="3" t="s">
        <v>1257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8</v>
      </c>
    </row>
    <row r="1670" spans="1:7" ht="264" customHeight="1">
      <c r="A1670" s="2">
        <v>557</v>
      </c>
      <c r="B1670" s="3" t="s">
        <v>1258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8</v>
      </c>
    </row>
    <row r="1673" spans="1:7" ht="264" customHeight="1">
      <c r="A1673" s="2">
        <v>558</v>
      </c>
      <c r="B1673" s="3" t="s">
        <v>1259</v>
      </c>
      <c r="C1673">
        <f>IMAGE("https://raw.githubusercontent.com/stautonico/tcg-livingdex/main/images/558/1.png", 2)</f>
        <v>0</v>
      </c>
      <c r="D1673">
        <f>IMAGE("https://raw.githubusercontent.com/stautonico/tcg-livingdex/main/images/558/2.png", 2)</f>
        <v>0</v>
      </c>
      <c r="E1673">
        <f>IMAGE("https://raw.githubusercontent.com/stautonico/tcg-livingdex/main/images/558/3.png", 2)</f>
        <v>0</v>
      </c>
      <c r="F1673">
        <f>IMAGE("https://raw.githubusercontent.com/stautonico/tcg-livingdex/main/images/558/4.png", 2)</f>
        <v>0</v>
      </c>
      <c r="G1673" t="s">
        <v>9</v>
      </c>
    </row>
    <row r="1674" spans="1:7">
      <c r="C1674" s="4" t="s">
        <v>1260</v>
      </c>
      <c r="D1674" s="4" t="s">
        <v>1261</v>
      </c>
      <c r="E1674" s="4" t="s">
        <v>1262</v>
      </c>
      <c r="F1674" s="4" t="s">
        <v>1263</v>
      </c>
    </row>
    <row r="1676" spans="1:7" ht="264" customHeight="1">
      <c r="A1676" s="2">
        <v>559</v>
      </c>
      <c r="B1676" s="3" t="s">
        <v>1264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8</v>
      </c>
    </row>
    <row r="1679" spans="1:7" ht="264" customHeight="1">
      <c r="A1679" s="2">
        <v>560</v>
      </c>
      <c r="B1679" s="3" t="s">
        <v>1265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8</v>
      </c>
    </row>
    <row r="1682" spans="1:7" ht="264" customHeight="1">
      <c r="A1682" s="2">
        <v>561</v>
      </c>
      <c r="B1682" s="3" t="s">
        <v>1266</v>
      </c>
      <c r="C1682">
        <f>IMAGE("https://raw.githubusercontent.com/stautonico/tcg-livingdex/main/images/561/1.png", 2)</f>
        <v>0</v>
      </c>
      <c r="D1682">
        <f>IMAGE("https://raw.githubusercontent.com/stautonico/tcg-livingdex/main/images/561/2.png", 2)</f>
        <v>0</v>
      </c>
      <c r="E1682">
        <f>IMAGE("https://raw.githubusercontent.com/stautonico/tcg-livingdex/main/images/561/3.png", 2)</f>
        <v>0</v>
      </c>
      <c r="F1682">
        <f>IMAGE("https://raw.githubusercontent.com/stautonico/tcg-livingdex/main/images/561/4.png", 2)</f>
        <v>0</v>
      </c>
      <c r="G1682" t="s">
        <v>9</v>
      </c>
    </row>
    <row r="1683" spans="1:7">
      <c r="C1683" s="4" t="s">
        <v>1267</v>
      </c>
      <c r="D1683" s="4" t="s">
        <v>1268</v>
      </c>
      <c r="E1683" s="4" t="s">
        <v>1269</v>
      </c>
      <c r="F1683" s="4" t="s">
        <v>1270</v>
      </c>
    </row>
    <row r="1685" spans="1:7" ht="264" customHeight="1">
      <c r="A1685" s="2">
        <v>562</v>
      </c>
      <c r="B1685" s="3" t="s">
        <v>1271</v>
      </c>
      <c r="C1685">
        <f>IMAGE("https://raw.githubusercontent.com/stautonico/tcg-livingdex/main/images/562/1.png", 2)</f>
        <v>0</v>
      </c>
      <c r="D1685">
        <f>IMAGE("https://raw.githubusercontent.com/stautonico/tcg-livingdex/main/images/562/2.png", 2)</f>
        <v>0</v>
      </c>
      <c r="E1685">
        <f>IMAGE("https://raw.githubusercontent.com/stautonico/tcg-livingdex/main/images/562/3.png", 2)</f>
        <v>0</v>
      </c>
      <c r="F1685">
        <f>IMAGE("https://raw.githubusercontent.com/stautonico/tcg-livingdex/main/images/562/4.png", 2)</f>
        <v>0</v>
      </c>
      <c r="G1685" t="s">
        <v>9</v>
      </c>
    </row>
    <row r="1686" spans="1:7">
      <c r="C1686" s="4" t="s">
        <v>1272</v>
      </c>
      <c r="D1686" s="4" t="s">
        <v>1273</v>
      </c>
      <c r="E1686" s="4" t="s">
        <v>1274</v>
      </c>
      <c r="F1686" s="4" t="s">
        <v>1275</v>
      </c>
    </row>
    <row r="1688" spans="1:7" ht="264" customHeight="1">
      <c r="A1688" s="2">
        <v>563</v>
      </c>
      <c r="B1688" s="3" t="s">
        <v>1276</v>
      </c>
      <c r="C1688">
        <f>IMAGE("https://raw.githubusercontent.com/stautonico/tcg-livingdex/main/images/563/1.png", 2)</f>
        <v>0</v>
      </c>
      <c r="D1688">
        <f>IMAGE("https://raw.githubusercontent.com/stautonico/tcg-livingdex/main/images/563/2.png", 2)</f>
        <v>0</v>
      </c>
      <c r="E1688">
        <f>IMAGE("https://raw.githubusercontent.com/stautonico/tcg-livingdex/main/images/563/3.png", 2)</f>
        <v>0</v>
      </c>
      <c r="F1688">
        <f>IMAGE("https://raw.githubusercontent.com/stautonico/tcg-livingdex/main/images/563/4.png", 2)</f>
        <v>0</v>
      </c>
      <c r="G1688" t="s">
        <v>9</v>
      </c>
    </row>
    <row r="1689" spans="1:7">
      <c r="C1689" s="4" t="s">
        <v>1277</v>
      </c>
      <c r="D1689" s="4" t="s">
        <v>1278</v>
      </c>
      <c r="E1689" s="4" t="s">
        <v>1279</v>
      </c>
      <c r="F1689" s="4" t="s">
        <v>1280</v>
      </c>
    </row>
    <row r="1691" spans="1:7" ht="264" customHeight="1">
      <c r="A1691" s="2">
        <v>564</v>
      </c>
      <c r="B1691" s="3" t="s">
        <v>1281</v>
      </c>
      <c r="C1691">
        <f>IMAGE("https://raw.githubusercontent.com/stautonico/tcg-livingdex/main/images/564/1.png", 2)</f>
        <v>0</v>
      </c>
      <c r="D1691">
        <f>IMAGE("https://raw.githubusercontent.com/stautonico/tcg-livingdex/main/images/564/2.png", 2)</f>
        <v>0</v>
      </c>
      <c r="E1691">
        <f>IMAGE("https://raw.githubusercontent.com/stautonico/tcg-livingdex/main/images/564/3.png", 2)</f>
        <v>0</v>
      </c>
      <c r="F1691">
        <f>IMAGE("https://raw.githubusercontent.com/stautonico/tcg-livingdex/main/images/564/4.png", 2)</f>
        <v>0</v>
      </c>
      <c r="G1691" t="s">
        <v>9</v>
      </c>
    </row>
    <row r="1692" spans="1:7">
      <c r="C1692" s="4" t="s">
        <v>1282</v>
      </c>
      <c r="D1692" s="4" t="s">
        <v>1283</v>
      </c>
      <c r="E1692" s="4" t="s">
        <v>1284</v>
      </c>
      <c r="F1692" s="4" t="s">
        <v>1285</v>
      </c>
    </row>
    <row r="1694" spans="1:7" ht="264" customHeight="1">
      <c r="A1694" s="2">
        <v>565</v>
      </c>
      <c r="B1694" s="3" t="s">
        <v>1286</v>
      </c>
      <c r="C1694">
        <f>IMAGE("https://raw.githubusercontent.com/stautonico/tcg-livingdex/main/images/565/1.png", 2)</f>
        <v>0</v>
      </c>
      <c r="D1694">
        <f>IMAGE("https://raw.githubusercontent.com/stautonico/tcg-livingdex/main/images/565/2.png", 2)</f>
        <v>0</v>
      </c>
      <c r="E1694">
        <f>IMAGE("https://raw.githubusercontent.com/stautonico/tcg-livingdex/main/images/565/3.png", 2)</f>
        <v>0</v>
      </c>
      <c r="F1694">
        <f>IMAGE("https://raw.githubusercontent.com/stautonico/tcg-livingdex/main/images/565/4.png", 2)</f>
        <v>0</v>
      </c>
      <c r="G1694" t="s">
        <v>9</v>
      </c>
    </row>
    <row r="1695" spans="1:7">
      <c r="C1695" s="4" t="s">
        <v>1287</v>
      </c>
      <c r="D1695" s="4" t="s">
        <v>1288</v>
      </c>
      <c r="E1695" s="4" t="s">
        <v>1289</v>
      </c>
      <c r="F1695" s="4" t="s">
        <v>1282</v>
      </c>
    </row>
    <row r="1697" spans="1:7" ht="264" customHeight="1">
      <c r="A1697" s="2">
        <v>566</v>
      </c>
      <c r="B1697" s="3" t="s">
        <v>1290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8</v>
      </c>
    </row>
    <row r="1700" spans="1:7" ht="264" customHeight="1">
      <c r="A1700" s="2">
        <v>567</v>
      </c>
      <c r="B1700" s="3" t="s">
        <v>1291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8</v>
      </c>
    </row>
    <row r="1703" spans="1:7" ht="264" customHeight="1">
      <c r="A1703" s="2">
        <v>568</v>
      </c>
      <c r="B1703" s="3" t="s">
        <v>1292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8</v>
      </c>
    </row>
    <row r="1706" spans="1:7" ht="264" customHeight="1">
      <c r="A1706" s="2">
        <v>569</v>
      </c>
      <c r="B1706" s="3" t="s">
        <v>1293</v>
      </c>
      <c r="C1706">
        <f>IMAGE("https://raw.githubusercontent.com/stautonico/tcg-livingdex/main/images/569/1.png", 2)</f>
        <v>0</v>
      </c>
      <c r="D1706">
        <f>IMAGE("https://raw.githubusercontent.com/stautonico/tcg-livingdex/main/images/569/2.png", 2)</f>
        <v>0</v>
      </c>
      <c r="E1706">
        <f>IMAGE("https://raw.githubusercontent.com/stautonico/tcg-livingdex/main/images/569/3.png", 2)</f>
        <v>0</v>
      </c>
      <c r="F1706">
        <f>IMAGE("https://raw.githubusercontent.com/stautonico/tcg-livingdex/main/images/569/4.png", 2)</f>
        <v>0</v>
      </c>
      <c r="G1706" t="s">
        <v>9</v>
      </c>
    </row>
    <row r="1707" spans="1:7">
      <c r="C1707" s="4" t="s">
        <v>1294</v>
      </c>
      <c r="D1707" s="4" t="s">
        <v>1295</v>
      </c>
      <c r="E1707" s="4" t="s">
        <v>1296</v>
      </c>
      <c r="F1707" s="4" t="s">
        <v>1297</v>
      </c>
    </row>
    <row r="1709" spans="1:7" ht="264" customHeight="1">
      <c r="A1709" s="2">
        <v>570</v>
      </c>
      <c r="B1709" s="3" t="s">
        <v>1298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8</v>
      </c>
    </row>
    <row r="1712" spans="1:7" ht="264" customHeight="1">
      <c r="A1712" s="2">
        <v>571</v>
      </c>
      <c r="B1712" s="3" t="s">
        <v>1299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8</v>
      </c>
    </row>
    <row r="1715" spans="1:7" ht="264" customHeight="1">
      <c r="A1715" s="2">
        <v>572</v>
      </c>
      <c r="B1715" s="3" t="s">
        <v>1300</v>
      </c>
      <c r="C1715">
        <f>IMAGE("https://raw.githubusercontent.com/stautonico/tcg-livingdex/main/images/572/1.png", 2)</f>
        <v>0</v>
      </c>
      <c r="D1715">
        <f>IMAGE("https://raw.githubusercontent.com/stautonico/tcg-livingdex/main/images/572/2.png", 2)</f>
        <v>0</v>
      </c>
      <c r="E1715">
        <f>IMAGE("https://raw.githubusercontent.com/stautonico/tcg-livingdex/main/images/572/3.png", 2)</f>
        <v>0</v>
      </c>
      <c r="F1715">
        <f>IMAGE("https://raw.githubusercontent.com/stautonico/tcg-livingdex/main/images/572/4.png", 2)</f>
        <v>0</v>
      </c>
      <c r="G1715" t="s">
        <v>9</v>
      </c>
    </row>
    <row r="1716" spans="1:7">
      <c r="C1716" s="4" t="s">
        <v>1301</v>
      </c>
      <c r="D1716" s="4" t="s">
        <v>1302</v>
      </c>
      <c r="E1716" s="4" t="s">
        <v>1303</v>
      </c>
      <c r="F1716" s="4" t="s">
        <v>1304</v>
      </c>
    </row>
    <row r="1718" spans="1:7" ht="264" customHeight="1">
      <c r="A1718" s="2">
        <v>573</v>
      </c>
      <c r="B1718" s="3" t="s">
        <v>1305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8</v>
      </c>
    </row>
    <row r="1721" spans="1:7" ht="264" customHeight="1">
      <c r="A1721" s="2">
        <v>574</v>
      </c>
      <c r="B1721" s="3" t="s">
        <v>1306</v>
      </c>
      <c r="C1721">
        <f>IMAGE("https://raw.githubusercontent.com/stautonico/tcg-livingdex/main/images/574/1.png", 2)</f>
        <v>0</v>
      </c>
      <c r="D1721">
        <f>IMAGE("https://raw.githubusercontent.com/stautonico/tcg-livingdex/main/images/574/2.png", 2)</f>
        <v>0</v>
      </c>
      <c r="E1721">
        <f>IMAGE("https://raw.githubusercontent.com/stautonico/tcg-livingdex/main/images/574/3.png", 2)</f>
        <v>0</v>
      </c>
      <c r="F1721">
        <f>IMAGE("https://raw.githubusercontent.com/stautonico/tcg-livingdex/main/images/574/4.png", 2)</f>
        <v>0</v>
      </c>
      <c r="G1721" t="s">
        <v>9</v>
      </c>
    </row>
    <row r="1722" spans="1:7">
      <c r="C1722" s="4" t="s">
        <v>1307</v>
      </c>
      <c r="D1722" s="4" t="s">
        <v>1308</v>
      </c>
      <c r="E1722" s="4" t="s">
        <v>1309</v>
      </c>
      <c r="F1722" s="4" t="s">
        <v>1310</v>
      </c>
    </row>
    <row r="1724" spans="1:7" ht="264" customHeight="1">
      <c r="A1724" s="2">
        <v>575</v>
      </c>
      <c r="B1724" s="3" t="s">
        <v>1311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8</v>
      </c>
    </row>
    <row r="1727" spans="1:7" ht="264" customHeight="1">
      <c r="A1727" s="2">
        <v>576</v>
      </c>
      <c r="B1727" s="3" t="s">
        <v>1312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8</v>
      </c>
    </row>
    <row r="1730" spans="1:7" ht="264" customHeight="1">
      <c r="A1730" s="2">
        <v>577</v>
      </c>
      <c r="B1730" s="3" t="s">
        <v>1313</v>
      </c>
      <c r="C1730">
        <f>IMAGE("https://raw.githubusercontent.com/stautonico/tcg-livingdex/main/images/577/1.png", 2)</f>
        <v>0</v>
      </c>
      <c r="D1730">
        <f>IMAGE("https://raw.githubusercontent.com/stautonico/tcg-livingdex/main/images/577/2.png", 2)</f>
        <v>0</v>
      </c>
      <c r="E1730">
        <f>IMAGE("https://raw.githubusercontent.com/stautonico/tcg-livingdex/main/images/577/3.png", 2)</f>
        <v>0</v>
      </c>
      <c r="F1730">
        <f>IMAGE("https://raw.githubusercontent.com/stautonico/tcg-livingdex/main/images/577/4.png", 2)</f>
        <v>0</v>
      </c>
      <c r="G1730" t="s">
        <v>9</v>
      </c>
    </row>
    <row r="1731" spans="1:7">
      <c r="C1731" s="4" t="s">
        <v>1314</v>
      </c>
      <c r="D1731" s="4" t="s">
        <v>1315</v>
      </c>
      <c r="E1731" s="4" t="s">
        <v>1316</v>
      </c>
      <c r="F1731" s="4" t="s">
        <v>1317</v>
      </c>
    </row>
    <row r="1733" spans="1:7" ht="264" customHeight="1">
      <c r="A1733" s="2">
        <v>578</v>
      </c>
      <c r="B1733" s="3" t="s">
        <v>1318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8</v>
      </c>
    </row>
    <row r="1736" spans="1:7" ht="264" customHeight="1">
      <c r="A1736" s="2">
        <v>579</v>
      </c>
      <c r="B1736" s="3" t="s">
        <v>1319</v>
      </c>
      <c r="C1736">
        <f>IMAGE("https://raw.githubusercontent.com/stautonico/tcg-livingdex/main/images/579/1.png", 2)</f>
        <v>0</v>
      </c>
      <c r="D1736">
        <f>IMAGE("https://raw.githubusercontent.com/stautonico/tcg-livingdex/main/images/579/2.png", 2)</f>
        <v>0</v>
      </c>
      <c r="E1736">
        <f>IMAGE("https://raw.githubusercontent.com/stautonico/tcg-livingdex/main/images/579/3.png", 2)</f>
        <v>0</v>
      </c>
      <c r="F1736">
        <f>IMAGE("https://raw.githubusercontent.com/stautonico/tcg-livingdex/main/images/579/4.png", 2)</f>
        <v>0</v>
      </c>
      <c r="G1736" t="s">
        <v>9</v>
      </c>
    </row>
    <row r="1737" spans="1:7">
      <c r="C1737" s="4" t="s">
        <v>1320</v>
      </c>
      <c r="D1737" s="4" t="s">
        <v>1321</v>
      </c>
      <c r="E1737" s="4" t="s">
        <v>1322</v>
      </c>
      <c r="F1737" s="4" t="s">
        <v>1323</v>
      </c>
    </row>
    <row r="1739" spans="1:7" ht="264" customHeight="1">
      <c r="A1739" s="2">
        <v>580</v>
      </c>
      <c r="B1739" s="3" t="s">
        <v>1324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8</v>
      </c>
    </row>
    <row r="1742" spans="1:7" ht="264" customHeight="1">
      <c r="A1742" s="2">
        <v>581</v>
      </c>
      <c r="B1742" s="3" t="s">
        <v>1325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8</v>
      </c>
    </row>
    <row r="1745" spans="1:7" ht="264" customHeight="1">
      <c r="A1745" s="2">
        <v>582</v>
      </c>
      <c r="B1745" s="3" t="s">
        <v>1326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8</v>
      </c>
    </row>
    <row r="1748" spans="1:7" ht="264" customHeight="1">
      <c r="A1748" s="2">
        <v>583</v>
      </c>
      <c r="B1748" s="3" t="s">
        <v>1327</v>
      </c>
      <c r="C1748">
        <f>IMAGE("https://raw.githubusercontent.com/stautonico/tcg-livingdex/main/images/583/1.png", 2)</f>
        <v>0</v>
      </c>
      <c r="D1748">
        <f>IMAGE("https://raw.githubusercontent.com/stautonico/tcg-livingdex/main/images/583/2.png", 2)</f>
        <v>0</v>
      </c>
      <c r="E1748">
        <f>IMAGE("https://raw.githubusercontent.com/stautonico/tcg-livingdex/main/images/583/3.png", 2)</f>
        <v>0</v>
      </c>
      <c r="F1748">
        <f>IMAGE("https://raw.githubusercontent.com/stautonico/tcg-livingdex/main/images/583/4.png", 2)</f>
        <v>0</v>
      </c>
      <c r="G1748" t="s">
        <v>9</v>
      </c>
    </row>
    <row r="1749" spans="1:7">
      <c r="C1749" s="4" t="s">
        <v>1328</v>
      </c>
      <c r="D1749" s="4" t="s">
        <v>1329</v>
      </c>
      <c r="E1749" s="4" t="s">
        <v>1330</v>
      </c>
      <c r="F1749" s="4" t="s">
        <v>1331</v>
      </c>
    </row>
    <row r="1751" spans="1:7" ht="264" customHeight="1">
      <c r="A1751" s="2">
        <v>584</v>
      </c>
      <c r="B1751" s="3" t="s">
        <v>1332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8</v>
      </c>
    </row>
    <row r="1754" spans="1:7" ht="264" customHeight="1">
      <c r="A1754" s="2">
        <v>585</v>
      </c>
      <c r="B1754" s="3" t="s">
        <v>1333</v>
      </c>
      <c r="C1754">
        <f>IMAGE("https://raw.githubusercontent.com/stautonico/tcg-livingdex/main/images/585/1.png", 2)</f>
        <v>0</v>
      </c>
      <c r="D1754">
        <f>IMAGE("https://raw.githubusercontent.com/stautonico/tcg-livingdex/main/images/585/2.png", 2)</f>
        <v>0</v>
      </c>
      <c r="E1754">
        <f>IMAGE("https://raw.githubusercontent.com/stautonico/tcg-livingdex/main/images/585/3.png", 2)</f>
        <v>0</v>
      </c>
      <c r="F1754">
        <f>IMAGE("https://raw.githubusercontent.com/stautonico/tcg-livingdex/main/images/585/4.png", 2)</f>
        <v>0</v>
      </c>
      <c r="G1754" t="s">
        <v>9</v>
      </c>
    </row>
    <row r="1755" spans="1:7">
      <c r="C1755" s="4" t="s">
        <v>1334</v>
      </c>
      <c r="D1755" s="4" t="s">
        <v>1335</v>
      </c>
      <c r="E1755" s="4" t="s">
        <v>1336</v>
      </c>
      <c r="F1755" s="4" t="s">
        <v>1337</v>
      </c>
    </row>
    <row r="1757" spans="1:7" ht="264" customHeight="1">
      <c r="A1757" s="2">
        <v>586</v>
      </c>
      <c r="B1757" s="3" t="s">
        <v>1338</v>
      </c>
      <c r="C1757">
        <f>IMAGE("https://raw.githubusercontent.com/stautonico/tcg-livingdex/main/images/586/1.png", 2)</f>
        <v>0</v>
      </c>
      <c r="D1757">
        <f>IMAGE("https://raw.githubusercontent.com/stautonico/tcg-livingdex/main/images/586/2.png", 2)</f>
        <v>0</v>
      </c>
      <c r="E1757">
        <f>IMAGE("https://raw.githubusercontent.com/stautonico/tcg-livingdex/main/images/586/3.png", 2)</f>
        <v>0</v>
      </c>
      <c r="F1757">
        <f>IMAGE("https://raw.githubusercontent.com/stautonico/tcg-livingdex/main/images/586/4.png", 2)</f>
        <v>0</v>
      </c>
      <c r="G1757" t="s">
        <v>9</v>
      </c>
    </row>
    <row r="1758" spans="1:7">
      <c r="C1758" s="4" t="s">
        <v>1339</v>
      </c>
      <c r="D1758" s="4" t="s">
        <v>1340</v>
      </c>
      <c r="E1758" s="4" t="s">
        <v>1341</v>
      </c>
      <c r="F1758" s="4" t="s">
        <v>1342</v>
      </c>
    </row>
    <row r="1760" spans="1:7" ht="264" customHeight="1">
      <c r="A1760" s="2">
        <v>587</v>
      </c>
      <c r="B1760" s="3" t="s">
        <v>1343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8</v>
      </c>
    </row>
    <row r="1763" spans="1:7" ht="264" customHeight="1">
      <c r="A1763" s="2">
        <v>588</v>
      </c>
      <c r="B1763" s="3" t="s">
        <v>1344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8</v>
      </c>
    </row>
    <row r="1766" spans="1:7" ht="264" customHeight="1">
      <c r="A1766" s="2">
        <v>589</v>
      </c>
      <c r="B1766" s="3" t="s">
        <v>1345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8</v>
      </c>
    </row>
    <row r="1769" spans="1:7" ht="264" customHeight="1">
      <c r="A1769" s="2">
        <v>590</v>
      </c>
      <c r="B1769" s="3" t="s">
        <v>1346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8</v>
      </c>
    </row>
    <row r="1772" spans="1:7" ht="264" customHeight="1">
      <c r="A1772" s="2">
        <v>591</v>
      </c>
      <c r="B1772" s="3" t="s">
        <v>1347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8</v>
      </c>
    </row>
    <row r="1775" spans="1:7" ht="264" customHeight="1">
      <c r="A1775" s="2">
        <v>592</v>
      </c>
      <c r="B1775" s="3" t="s">
        <v>1348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8</v>
      </c>
    </row>
    <row r="1778" spans="1:7" ht="264" customHeight="1">
      <c r="A1778" s="2">
        <v>593</v>
      </c>
      <c r="B1778" s="3" t="s">
        <v>1349</v>
      </c>
      <c r="C1778">
        <f>IMAGE("https://raw.githubusercontent.com/stautonico/tcg-livingdex/main/images/593/1.png", 2)</f>
        <v>0</v>
      </c>
      <c r="D1778">
        <f>IMAGE("https://raw.githubusercontent.com/stautonico/tcg-livingdex/main/images/593/2.png", 2)</f>
        <v>0</v>
      </c>
      <c r="E1778">
        <f>IMAGE("https://raw.githubusercontent.com/stautonico/tcg-livingdex/main/images/593/3.png", 2)</f>
        <v>0</v>
      </c>
      <c r="F1778">
        <f>IMAGE("https://raw.githubusercontent.com/stautonico/tcg-livingdex/main/images/593/4.png", 2)</f>
        <v>0</v>
      </c>
      <c r="G1778" t="s">
        <v>9</v>
      </c>
    </row>
    <row r="1779" spans="1:7">
      <c r="C1779" s="4" t="s">
        <v>1350</v>
      </c>
      <c r="D1779" s="4" t="s">
        <v>1351</v>
      </c>
      <c r="E1779" s="4" t="s">
        <v>1352</v>
      </c>
      <c r="F1779" s="4" t="s">
        <v>1353</v>
      </c>
    </row>
    <row r="1781" spans="1:7" ht="264" customHeight="1">
      <c r="A1781" s="2">
        <v>594</v>
      </c>
      <c r="B1781" s="3" t="s">
        <v>1354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8</v>
      </c>
    </row>
    <row r="1784" spans="1:7" ht="264" customHeight="1">
      <c r="A1784" s="2">
        <v>595</v>
      </c>
      <c r="B1784" s="3" t="s">
        <v>1355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1356</v>
      </c>
    </row>
    <row r="1787" spans="1:7" ht="264" customHeight="1">
      <c r="A1787" s="2">
        <v>596</v>
      </c>
      <c r="B1787" s="3" t="s">
        <v>1357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8</v>
      </c>
    </row>
    <row r="1790" spans="1:7" ht="264" customHeight="1">
      <c r="A1790" s="2">
        <v>597</v>
      </c>
      <c r="B1790" s="3" t="s">
        <v>1358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8</v>
      </c>
    </row>
    <row r="1793" spans="1:7" ht="264" customHeight="1">
      <c r="A1793" s="2">
        <v>598</v>
      </c>
      <c r="B1793" s="3" t="s">
        <v>1359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1360</v>
      </c>
    </row>
    <row r="1796" spans="1:7" ht="264" customHeight="1">
      <c r="A1796" s="2">
        <v>599</v>
      </c>
      <c r="B1796" s="3" t="s">
        <v>1361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8</v>
      </c>
    </row>
    <row r="1799" spans="1:7" ht="264" customHeight="1">
      <c r="A1799" s="2">
        <v>600</v>
      </c>
      <c r="B1799" s="3" t="s">
        <v>1362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8</v>
      </c>
    </row>
    <row r="1802" spans="1:7" ht="264" customHeight="1">
      <c r="A1802" s="2">
        <v>601</v>
      </c>
      <c r="B1802" s="3" t="s">
        <v>1363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8</v>
      </c>
    </row>
    <row r="1805" spans="1:7" ht="264" customHeight="1">
      <c r="A1805" s="2">
        <v>602</v>
      </c>
      <c r="B1805" s="3" t="s">
        <v>1364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8</v>
      </c>
    </row>
    <row r="1808" spans="1:7" ht="264" customHeight="1">
      <c r="A1808" s="2">
        <v>603</v>
      </c>
      <c r="B1808" s="3" t="s">
        <v>1365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8</v>
      </c>
    </row>
    <row r="1811" spans="1:7" ht="264" customHeight="1">
      <c r="A1811" s="2">
        <v>604</v>
      </c>
      <c r="B1811" s="3" t="s">
        <v>1366</v>
      </c>
      <c r="C1811">
        <f>IMAGE("https://raw.githubusercontent.com/stautonico/tcg-livingdex/main/images/604/1.png", 2)</f>
        <v>0</v>
      </c>
      <c r="D1811">
        <f>IMAGE("https://raw.githubusercontent.com/stautonico/tcg-livingdex/main/images/604/2.png", 2)</f>
        <v>0</v>
      </c>
      <c r="E1811">
        <f>IMAGE("https://raw.githubusercontent.com/stautonico/tcg-livingdex/main/images/604/3.png", 2)</f>
        <v>0</v>
      </c>
      <c r="F1811">
        <f>IMAGE("https://raw.githubusercontent.com/stautonico/tcg-livingdex/main/images/604/4.png", 2)</f>
        <v>0</v>
      </c>
      <c r="G1811" t="s">
        <v>9</v>
      </c>
    </row>
    <row r="1812" spans="1:7">
      <c r="C1812" s="4" t="s">
        <v>1367</v>
      </c>
      <c r="D1812" s="4" t="s">
        <v>1368</v>
      </c>
      <c r="E1812" s="4" t="s">
        <v>1369</v>
      </c>
      <c r="F1812" s="4" t="s">
        <v>1370</v>
      </c>
    </row>
    <row r="1814" spans="1:7" ht="264" customHeight="1">
      <c r="A1814" s="2">
        <v>605</v>
      </c>
      <c r="B1814" s="3" t="s">
        <v>1371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8</v>
      </c>
    </row>
    <row r="1817" spans="1:7" ht="264" customHeight="1">
      <c r="A1817" s="2">
        <v>606</v>
      </c>
      <c r="B1817" s="3" t="s">
        <v>1372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8</v>
      </c>
    </row>
    <row r="1820" spans="1:7" ht="264" customHeight="1">
      <c r="A1820" s="2">
        <v>607</v>
      </c>
      <c r="B1820" s="3" t="s">
        <v>1373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8</v>
      </c>
    </row>
    <row r="1823" spans="1:7" ht="264" customHeight="1">
      <c r="A1823" s="2">
        <v>608</v>
      </c>
      <c r="B1823" s="3" t="s">
        <v>1374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8</v>
      </c>
    </row>
    <row r="1826" spans="1:7" ht="264" customHeight="1">
      <c r="A1826" s="2">
        <v>609</v>
      </c>
      <c r="B1826" s="3" t="s">
        <v>1375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8</v>
      </c>
    </row>
    <row r="1829" spans="1:7" ht="264" customHeight="1">
      <c r="A1829" s="2">
        <v>610</v>
      </c>
      <c r="B1829" s="3" t="s">
        <v>1376</v>
      </c>
      <c r="C1829">
        <f>IMAGE("https://raw.githubusercontent.com/stautonico/tcg-livingdex/main/images/610/1.png", 2)</f>
        <v>0</v>
      </c>
      <c r="D1829">
        <f>IMAGE("https://raw.githubusercontent.com/stautonico/tcg-livingdex/main/images/610/2.png", 2)</f>
        <v>0</v>
      </c>
      <c r="E1829">
        <f>IMAGE("https://raw.githubusercontent.com/stautonico/tcg-livingdex/main/images/610/3.png", 2)</f>
        <v>0</v>
      </c>
      <c r="F1829">
        <f>IMAGE("https://raw.githubusercontent.com/stautonico/tcg-livingdex/main/images/610/4.png", 2)</f>
        <v>0</v>
      </c>
      <c r="G1829" t="s">
        <v>9</v>
      </c>
    </row>
    <row r="1830" spans="1:7">
      <c r="C1830" s="4" t="s">
        <v>1377</v>
      </c>
      <c r="D1830" s="4" t="s">
        <v>1378</v>
      </c>
      <c r="E1830" s="4" t="s">
        <v>1379</v>
      </c>
      <c r="F1830" s="4" t="s">
        <v>1380</v>
      </c>
    </row>
    <row r="1832" spans="1:7" ht="264" customHeight="1">
      <c r="A1832" s="2">
        <v>611</v>
      </c>
      <c r="B1832" s="3" t="s">
        <v>1381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8</v>
      </c>
    </row>
    <row r="1835" spans="1:7" ht="264" customHeight="1">
      <c r="A1835" s="2">
        <v>612</v>
      </c>
      <c r="B1835" s="3" t="s">
        <v>1382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8</v>
      </c>
    </row>
    <row r="1838" spans="1:7" ht="264" customHeight="1">
      <c r="A1838" s="2">
        <v>613</v>
      </c>
      <c r="B1838" s="3" t="s">
        <v>1383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8</v>
      </c>
    </row>
    <row r="1841" spans="1:7" ht="264" customHeight="1">
      <c r="A1841" s="2">
        <v>614</v>
      </c>
      <c r="B1841" s="3" t="s">
        <v>1384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8</v>
      </c>
    </row>
    <row r="1844" spans="1:7" ht="264" customHeight="1">
      <c r="A1844" s="2">
        <v>615</v>
      </c>
      <c r="B1844" s="3" t="s">
        <v>1385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8</v>
      </c>
    </row>
    <row r="1847" spans="1:7" ht="264" customHeight="1">
      <c r="A1847" s="2">
        <v>616</v>
      </c>
      <c r="B1847" s="3" t="s">
        <v>1386</v>
      </c>
      <c r="C1847">
        <f>IMAGE("https://raw.githubusercontent.com/stautonico/tcg-livingdex/main/images/616/1.png", 2)</f>
        <v>0</v>
      </c>
      <c r="D1847">
        <f>IMAGE("https://raw.githubusercontent.com/stautonico/tcg-livingdex/main/images/616/2.png", 2)</f>
        <v>0</v>
      </c>
      <c r="E1847">
        <f>IMAGE("https://raw.githubusercontent.com/stautonico/tcg-livingdex/main/images/616/3.png", 2)</f>
        <v>0</v>
      </c>
      <c r="F1847">
        <f>IMAGE("https://raw.githubusercontent.com/stautonico/tcg-livingdex/main/images/616/4.png", 2)</f>
        <v>0</v>
      </c>
      <c r="G1847" t="s">
        <v>9</v>
      </c>
    </row>
    <row r="1848" spans="1:7">
      <c r="C1848" s="4" t="s">
        <v>1387</v>
      </c>
      <c r="D1848" s="4" t="s">
        <v>1388</v>
      </c>
      <c r="E1848" s="4" t="s">
        <v>1389</v>
      </c>
      <c r="F1848" s="4" t="s">
        <v>1390</v>
      </c>
    </row>
    <row r="1850" spans="1:7" ht="264" customHeight="1">
      <c r="A1850" s="2">
        <v>617</v>
      </c>
      <c r="B1850" s="3" t="s">
        <v>1391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8</v>
      </c>
    </row>
    <row r="1853" spans="1:7" ht="264" customHeight="1">
      <c r="A1853" s="2">
        <v>618</v>
      </c>
      <c r="B1853" s="3" t="s">
        <v>1392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8</v>
      </c>
    </row>
    <row r="1856" spans="1:7" ht="264" customHeight="1">
      <c r="A1856" s="2">
        <v>619</v>
      </c>
      <c r="B1856" s="3" t="s">
        <v>1393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8</v>
      </c>
    </row>
    <row r="1859" spans="1:7" ht="264" customHeight="1">
      <c r="A1859" s="2">
        <v>620</v>
      </c>
      <c r="B1859" s="3" t="s">
        <v>1394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8</v>
      </c>
    </row>
    <row r="1862" spans="1:7" ht="264" customHeight="1">
      <c r="A1862" s="2">
        <v>621</v>
      </c>
      <c r="B1862" s="3" t="s">
        <v>1395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8</v>
      </c>
    </row>
    <row r="1865" spans="1:7" ht="264" customHeight="1">
      <c r="A1865" s="2">
        <v>622</v>
      </c>
      <c r="B1865" s="3" t="s">
        <v>1396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8</v>
      </c>
    </row>
    <row r="1868" spans="1:7" ht="264" customHeight="1">
      <c r="A1868" s="2">
        <v>623</v>
      </c>
      <c r="B1868" s="3" t="s">
        <v>1397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8</v>
      </c>
    </row>
    <row r="1871" spans="1:7" ht="264" customHeight="1">
      <c r="A1871" s="2">
        <v>624</v>
      </c>
      <c r="B1871" s="3" t="s">
        <v>1398</v>
      </c>
      <c r="C1871">
        <f>IMAGE("https://raw.githubusercontent.com/stautonico/tcg-livingdex/main/images/624/1.png", 2)</f>
        <v>0</v>
      </c>
      <c r="D1871">
        <f>IMAGE("https://raw.githubusercontent.com/stautonico/tcg-livingdex/main/images/624/2.png", 2)</f>
        <v>0</v>
      </c>
      <c r="E1871">
        <f>IMAGE("https://raw.githubusercontent.com/stautonico/tcg-livingdex/main/images/624/3.png", 2)</f>
        <v>0</v>
      </c>
      <c r="F1871">
        <f>IMAGE("https://raw.githubusercontent.com/stautonico/tcg-livingdex/main/images/624/4.png", 2)</f>
        <v>0</v>
      </c>
      <c r="G1871" t="s">
        <v>9</v>
      </c>
    </row>
    <row r="1872" spans="1:7">
      <c r="C1872" s="4" t="s">
        <v>1399</v>
      </c>
      <c r="D1872" s="4" t="s">
        <v>1400</v>
      </c>
      <c r="E1872" s="4" t="s">
        <v>1401</v>
      </c>
      <c r="F1872" s="4" t="s">
        <v>1402</v>
      </c>
    </row>
    <row r="1874" spans="1:7" ht="264" customHeight="1">
      <c r="A1874" s="2">
        <v>625</v>
      </c>
      <c r="B1874" s="3" t="s">
        <v>1403</v>
      </c>
      <c r="C1874">
        <f>IMAGE("https://raw.githubusercontent.com/stautonico/tcg-livingdex/main/images/625/1.png", 2)</f>
        <v>0</v>
      </c>
      <c r="D1874">
        <f>IMAGE("https://raw.githubusercontent.com/stautonico/tcg-livingdex/main/images/625/2.png", 2)</f>
        <v>0</v>
      </c>
      <c r="E1874">
        <f>IMAGE("https://raw.githubusercontent.com/stautonico/tcg-livingdex/main/images/625/3.png", 2)</f>
        <v>0</v>
      </c>
      <c r="F1874">
        <f>IMAGE("https://raw.githubusercontent.com/stautonico/tcg-livingdex/main/images/625/4.png", 2)</f>
        <v>0</v>
      </c>
      <c r="G1874" t="s">
        <v>9</v>
      </c>
    </row>
    <row r="1875" spans="1:7">
      <c r="C1875" s="4" t="s">
        <v>1404</v>
      </c>
      <c r="D1875" s="4" t="s">
        <v>1405</v>
      </c>
      <c r="E1875" s="4" t="s">
        <v>1406</v>
      </c>
      <c r="F1875" s="4" t="s">
        <v>1407</v>
      </c>
    </row>
    <row r="1877" spans="1:7" ht="264" customHeight="1">
      <c r="A1877" s="2">
        <v>626</v>
      </c>
      <c r="B1877" s="3" t="s">
        <v>1408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8</v>
      </c>
    </row>
    <row r="1880" spans="1:7" ht="264" customHeight="1">
      <c r="A1880" s="2">
        <v>627</v>
      </c>
      <c r="B1880" s="3" t="s">
        <v>1409</v>
      </c>
      <c r="C1880">
        <f>IMAGE("https://raw.githubusercontent.com/stautonico/tcg-livingdex/main/images/627/1.png", 2)</f>
        <v>0</v>
      </c>
      <c r="D1880">
        <f>IMAGE("https://raw.githubusercontent.com/stautonico/tcg-livingdex/main/images/627/2.png", 2)</f>
        <v>0</v>
      </c>
      <c r="E1880">
        <f>IMAGE("https://raw.githubusercontent.com/stautonico/tcg-livingdex/main/images/627/3.png", 2)</f>
        <v>0</v>
      </c>
      <c r="F1880">
        <f>IMAGE("https://raw.githubusercontent.com/stautonico/tcg-livingdex/main/images/627/4.png", 2)</f>
        <v>0</v>
      </c>
      <c r="G1880" t="s">
        <v>9</v>
      </c>
    </row>
    <row r="1881" spans="1:7">
      <c r="C1881" s="4" t="s">
        <v>1410</v>
      </c>
      <c r="D1881" s="4" t="s">
        <v>1411</v>
      </c>
      <c r="E1881" s="4" t="s">
        <v>1412</v>
      </c>
      <c r="F1881" s="4" t="s">
        <v>1413</v>
      </c>
    </row>
    <row r="1883" spans="1:7" ht="264" customHeight="1">
      <c r="A1883" s="2">
        <v>628</v>
      </c>
      <c r="B1883" s="3" t="s">
        <v>1414</v>
      </c>
      <c r="C1883">
        <f>IMAGE("https://raw.githubusercontent.com/stautonico/tcg-livingdex/main/images/628/1.png", 2)</f>
        <v>0</v>
      </c>
      <c r="D1883">
        <f>IMAGE("https://raw.githubusercontent.com/stautonico/tcg-livingdex/main/images/628/2.png", 2)</f>
        <v>0</v>
      </c>
      <c r="E1883">
        <f>IMAGE("https://raw.githubusercontent.com/stautonico/tcg-livingdex/main/images/628/3.png", 2)</f>
        <v>0</v>
      </c>
      <c r="F1883">
        <f>IMAGE("https://raw.githubusercontent.com/stautonico/tcg-livingdex/main/images/628/4.png", 2)</f>
        <v>0</v>
      </c>
      <c r="G1883" t="s">
        <v>9</v>
      </c>
    </row>
    <row r="1884" spans="1:7">
      <c r="C1884" s="4" t="s">
        <v>1415</v>
      </c>
      <c r="D1884" s="4" t="s">
        <v>1416</v>
      </c>
      <c r="E1884" s="4" t="s">
        <v>1417</v>
      </c>
      <c r="F1884" s="4" t="s">
        <v>1418</v>
      </c>
    </row>
    <row r="1886" spans="1:7" ht="264" customHeight="1">
      <c r="A1886" s="2">
        <v>629</v>
      </c>
      <c r="B1886" s="3" t="s">
        <v>1419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8</v>
      </c>
    </row>
    <row r="1889" spans="1:7" ht="264" customHeight="1">
      <c r="A1889" s="2">
        <v>630</v>
      </c>
      <c r="B1889" s="3" t="s">
        <v>1420</v>
      </c>
      <c r="C1889">
        <f>IMAGE("https://raw.githubusercontent.com/stautonico/tcg-livingdex/main/images/630/1.png", 2)</f>
        <v>0</v>
      </c>
      <c r="D1889">
        <f>IMAGE("https://raw.githubusercontent.com/stautonico/tcg-livingdex/main/images/630/2.png", 2)</f>
        <v>0</v>
      </c>
      <c r="E1889">
        <f>IMAGE("https://raw.githubusercontent.com/stautonico/tcg-livingdex/main/images/630/3.png", 2)</f>
        <v>0</v>
      </c>
      <c r="F1889">
        <f>IMAGE("https://raw.githubusercontent.com/stautonico/tcg-livingdex/main/images/630/4.png", 2)</f>
        <v>0</v>
      </c>
      <c r="G1889" t="s">
        <v>9</v>
      </c>
    </row>
    <row r="1890" spans="1:7">
      <c r="C1890" s="4" t="s">
        <v>1421</v>
      </c>
      <c r="D1890" s="4" t="s">
        <v>1422</v>
      </c>
      <c r="E1890" s="4" t="s">
        <v>1423</v>
      </c>
      <c r="F1890" s="4" t="s">
        <v>1424</v>
      </c>
    </row>
    <row r="1892" spans="1:7" ht="264" customHeight="1">
      <c r="A1892" s="2">
        <v>631</v>
      </c>
      <c r="B1892" s="3" t="s">
        <v>1425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8</v>
      </c>
    </row>
    <row r="1895" spans="1:7" ht="264" customHeight="1">
      <c r="A1895" s="2">
        <v>632</v>
      </c>
      <c r="B1895" s="3" t="s">
        <v>1426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8</v>
      </c>
    </row>
    <row r="1898" spans="1:7" ht="264" customHeight="1">
      <c r="A1898" s="2">
        <v>633</v>
      </c>
      <c r="B1898" s="3" t="s">
        <v>1427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8</v>
      </c>
    </row>
    <row r="1901" spans="1:7" ht="264" customHeight="1">
      <c r="A1901" s="2">
        <v>634</v>
      </c>
      <c r="B1901" s="3" t="s">
        <v>1428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8</v>
      </c>
    </row>
    <row r="1904" spans="1:7" ht="264" customHeight="1">
      <c r="A1904" s="2">
        <v>635</v>
      </c>
      <c r="B1904" s="3" t="s">
        <v>1429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8</v>
      </c>
    </row>
    <row r="1907" spans="1:7" ht="264" customHeight="1">
      <c r="A1907" s="2">
        <v>636</v>
      </c>
      <c r="B1907" s="3" t="s">
        <v>1430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8</v>
      </c>
    </row>
    <row r="1910" spans="1:7" ht="264" customHeight="1">
      <c r="A1910" s="2">
        <v>637</v>
      </c>
      <c r="B1910" s="3" t="s">
        <v>1431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8</v>
      </c>
    </row>
    <row r="1913" spans="1:7" ht="264" customHeight="1">
      <c r="A1913" s="2">
        <v>638</v>
      </c>
      <c r="B1913" s="3" t="s">
        <v>1432</v>
      </c>
      <c r="C1913">
        <f>IMAGE("https://raw.githubusercontent.com/stautonico/tcg-livingdex/main/images/638/1.png", 2)</f>
        <v>0</v>
      </c>
      <c r="D1913">
        <f>IMAGE("https://raw.githubusercontent.com/stautonico/tcg-livingdex/main/images/638/2.png", 2)</f>
        <v>0</v>
      </c>
      <c r="E1913">
        <f>IMAGE("https://raw.githubusercontent.com/stautonico/tcg-livingdex/main/images/638/3.png", 2)</f>
        <v>0</v>
      </c>
      <c r="F1913">
        <f>IMAGE("https://raw.githubusercontent.com/stautonico/tcg-livingdex/main/images/638/4.png", 2)</f>
        <v>0</v>
      </c>
      <c r="G1913" t="s">
        <v>9</v>
      </c>
    </row>
    <row r="1914" spans="1:7">
      <c r="C1914" s="4" t="s">
        <v>1433</v>
      </c>
      <c r="D1914" s="4" t="s">
        <v>1434</v>
      </c>
      <c r="E1914" s="4" t="s">
        <v>1435</v>
      </c>
      <c r="F1914" s="4" t="s">
        <v>1436</v>
      </c>
    </row>
    <row r="1916" spans="1:7" ht="264" customHeight="1">
      <c r="A1916" s="2">
        <v>639</v>
      </c>
      <c r="B1916" s="3" t="s">
        <v>1437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8</v>
      </c>
    </row>
    <row r="1919" spans="1:7" ht="264" customHeight="1">
      <c r="A1919" s="2">
        <v>640</v>
      </c>
      <c r="B1919" s="3" t="s">
        <v>1438</v>
      </c>
      <c r="C1919">
        <f>IMAGE("https://raw.githubusercontent.com/stautonico/tcg-livingdex/main/images/640/1.png", 2)</f>
        <v>0</v>
      </c>
      <c r="D1919">
        <f>IMAGE("https://raw.githubusercontent.com/stautonico/tcg-livingdex/main/images/640/2.png", 2)</f>
        <v>0</v>
      </c>
      <c r="E1919">
        <f>IMAGE("https://raw.githubusercontent.com/stautonico/tcg-livingdex/main/images/640/3.png", 2)</f>
        <v>0</v>
      </c>
      <c r="F1919">
        <f>IMAGE("https://raw.githubusercontent.com/stautonico/tcg-livingdex/main/images/640/4.png", 2)</f>
        <v>0</v>
      </c>
      <c r="G1919" t="s">
        <v>9</v>
      </c>
    </row>
    <row r="1920" spans="1:7">
      <c r="C1920" s="4" t="s">
        <v>1439</v>
      </c>
      <c r="D1920" s="4" t="s">
        <v>1440</v>
      </c>
      <c r="E1920" s="4" t="s">
        <v>1441</v>
      </c>
      <c r="F1920" s="4" t="s">
        <v>1442</v>
      </c>
    </row>
    <row r="1922" spans="1:7" ht="264" customHeight="1">
      <c r="A1922" s="2">
        <v>641</v>
      </c>
      <c r="B1922" s="3" t="s">
        <v>1443</v>
      </c>
      <c r="C1922">
        <f>IMAGE("https://raw.githubusercontent.com/stautonico/tcg-livingdex/main/images/641/1.png", 2)</f>
        <v>0</v>
      </c>
      <c r="D1922">
        <f>IMAGE("https://raw.githubusercontent.com/stautonico/tcg-livingdex/main/images/641/2.png", 2)</f>
        <v>0</v>
      </c>
      <c r="E1922">
        <f>IMAGE("https://raw.githubusercontent.com/stautonico/tcg-livingdex/main/images/641/3.png", 2)</f>
        <v>0</v>
      </c>
      <c r="F1922">
        <f>IMAGE("https://raw.githubusercontent.com/stautonico/tcg-livingdex/main/images/641/4.png", 2)</f>
        <v>0</v>
      </c>
      <c r="G1922" t="s">
        <v>9</v>
      </c>
    </row>
    <row r="1923" spans="1:7">
      <c r="C1923" s="4" t="s">
        <v>1444</v>
      </c>
      <c r="D1923" s="4" t="s">
        <v>1445</v>
      </c>
      <c r="E1923" s="4" t="s">
        <v>1446</v>
      </c>
      <c r="F1923" s="4" t="s">
        <v>1447</v>
      </c>
    </row>
    <row r="1925" spans="1:7" ht="264" customHeight="1">
      <c r="A1925" s="2">
        <v>642</v>
      </c>
      <c r="B1925" s="3" t="s">
        <v>1448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8</v>
      </c>
    </row>
    <row r="1928" spans="1:7" ht="264" customHeight="1">
      <c r="A1928" s="2">
        <v>643</v>
      </c>
      <c r="B1928" s="3" t="s">
        <v>1449</v>
      </c>
      <c r="C1928">
        <f>IMAGE("https://raw.githubusercontent.com/stautonico/tcg-livingdex/main/images/643/1.png", 2)</f>
        <v>0</v>
      </c>
      <c r="D1928">
        <f>IMAGE("https://raw.githubusercontent.com/stautonico/tcg-livingdex/main/images/643/2.png", 2)</f>
        <v>0</v>
      </c>
      <c r="E1928">
        <f>IMAGE("https://raw.githubusercontent.com/stautonico/tcg-livingdex/main/images/643/3.png", 2)</f>
        <v>0</v>
      </c>
      <c r="F1928">
        <f>IMAGE("https://raw.githubusercontent.com/stautonico/tcg-livingdex/main/images/643/4.png", 2)</f>
        <v>0</v>
      </c>
      <c r="G1928" t="s">
        <v>9</v>
      </c>
    </row>
    <row r="1929" spans="1:7">
      <c r="C1929" s="4" t="s">
        <v>1450</v>
      </c>
      <c r="D1929" s="4" t="s">
        <v>1451</v>
      </c>
      <c r="E1929" s="4" t="s">
        <v>1452</v>
      </c>
      <c r="F1929" s="4" t="s">
        <v>1453</v>
      </c>
    </row>
    <row r="1931" spans="1:7" ht="264" customHeight="1">
      <c r="A1931" s="2">
        <v>644</v>
      </c>
      <c r="B1931" s="3" t="s">
        <v>1454</v>
      </c>
      <c r="C1931">
        <f>IMAGE("https://raw.githubusercontent.com/stautonico/tcg-livingdex/main/images/644/1.png", 2)</f>
        <v>0</v>
      </c>
      <c r="D1931">
        <f>IMAGE("https://raw.githubusercontent.com/stautonico/tcg-livingdex/main/images/644/2.png", 2)</f>
        <v>0</v>
      </c>
      <c r="E1931">
        <f>IMAGE("https://raw.githubusercontent.com/stautonico/tcg-livingdex/main/images/644/3.png", 2)</f>
        <v>0</v>
      </c>
      <c r="F1931">
        <f>IMAGE("https://raw.githubusercontent.com/stautonico/tcg-livingdex/main/images/644/4.png", 2)</f>
        <v>0</v>
      </c>
      <c r="G1931" t="s">
        <v>9</v>
      </c>
    </row>
    <row r="1932" spans="1:7">
      <c r="C1932" s="4" t="s">
        <v>1455</v>
      </c>
      <c r="D1932" s="4" t="s">
        <v>1456</v>
      </c>
      <c r="E1932" s="4" t="s">
        <v>1457</v>
      </c>
      <c r="F1932" s="4" t="s">
        <v>1458</v>
      </c>
    </row>
    <row r="1934" spans="1:7" ht="264" customHeight="1">
      <c r="A1934" s="2">
        <v>645</v>
      </c>
      <c r="B1934" s="3" t="s">
        <v>1459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8</v>
      </c>
    </row>
    <row r="1937" spans="1:7" ht="264" customHeight="1">
      <c r="A1937" s="2">
        <v>646</v>
      </c>
      <c r="B1937" s="3" t="s">
        <v>1460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8</v>
      </c>
    </row>
    <row r="1940" spans="1:7" ht="264" customHeight="1">
      <c r="A1940" s="2">
        <v>647</v>
      </c>
      <c r="B1940" s="3" t="s">
        <v>1461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1462</v>
      </c>
    </row>
    <row r="1943" spans="1:7" ht="264" customHeight="1">
      <c r="A1943" s="2">
        <v>648</v>
      </c>
      <c r="B1943" s="3" t="s">
        <v>1463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8</v>
      </c>
    </row>
    <row r="1946" spans="1:7" ht="264" customHeight="1">
      <c r="A1946" s="2">
        <v>649</v>
      </c>
      <c r="B1946" s="3" t="s">
        <v>1464</v>
      </c>
      <c r="C1946">
        <f>IMAGE("https://raw.githubusercontent.com/stautonico/tcg-livingdex/main/images/649/1.png", 2)</f>
        <v>0</v>
      </c>
      <c r="D1946">
        <f>IMAGE("https://raw.githubusercontent.com/stautonico/tcg-livingdex/main/images/649/2.png", 2)</f>
        <v>0</v>
      </c>
      <c r="E1946">
        <f>IMAGE("https://raw.githubusercontent.com/stautonico/tcg-livingdex/main/images/649/3.png", 2)</f>
        <v>0</v>
      </c>
      <c r="F1946">
        <f>IMAGE("https://raw.githubusercontent.com/stautonico/tcg-livingdex/main/images/649/4.png", 2)</f>
        <v>0</v>
      </c>
      <c r="G1946" t="s">
        <v>9</v>
      </c>
    </row>
    <row r="1947" spans="1:7">
      <c r="C1947" s="4" t="s">
        <v>1465</v>
      </c>
      <c r="D1947" s="4" t="s">
        <v>1466</v>
      </c>
      <c r="E1947" s="4" t="s">
        <v>1467</v>
      </c>
      <c r="F1947" s="4" t="s">
        <v>1468</v>
      </c>
    </row>
    <row r="1949" spans="1:7" ht="264" customHeight="1">
      <c r="A1949" s="2">
        <v>650</v>
      </c>
      <c r="B1949" s="3" t="s">
        <v>1469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8</v>
      </c>
    </row>
    <row r="1952" spans="1:7" ht="264" customHeight="1">
      <c r="A1952" s="2">
        <v>651</v>
      </c>
      <c r="B1952" s="3" t="s">
        <v>1470</v>
      </c>
      <c r="C1952">
        <f>IMAGE("https://raw.githubusercontent.com/stautonico/tcg-livingdex/main/images/651/1.png", 2)</f>
        <v>0</v>
      </c>
      <c r="D1952">
        <f>IMAGE("https://raw.githubusercontent.com/stautonico/tcg-livingdex/main/images/651/2.png", 2)</f>
        <v>0</v>
      </c>
      <c r="E1952">
        <f>IMAGE("https://raw.githubusercontent.com/stautonico/tcg-livingdex/main/images/651/3.png", 2)</f>
        <v>0</v>
      </c>
      <c r="G1952" t="s">
        <v>9</v>
      </c>
    </row>
    <row r="1953" spans="1:7">
      <c r="C1953" s="4" t="s">
        <v>1471</v>
      </c>
      <c r="D1953" s="4" t="s">
        <v>1472</v>
      </c>
      <c r="E1953" s="4" t="s">
        <v>1473</v>
      </c>
    </row>
    <row r="1955" spans="1:7" ht="264" customHeight="1">
      <c r="A1955" s="2">
        <v>652</v>
      </c>
      <c r="B1955" s="3" t="s">
        <v>1474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8</v>
      </c>
    </row>
    <row r="1958" spans="1:7" ht="264" customHeight="1">
      <c r="A1958" s="2">
        <v>653</v>
      </c>
      <c r="B1958" s="3" t="s">
        <v>1475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8</v>
      </c>
    </row>
    <row r="1961" spans="1:7" ht="264" customHeight="1">
      <c r="A1961" s="2">
        <v>654</v>
      </c>
      <c r="B1961" s="3" t="s">
        <v>1476</v>
      </c>
      <c r="C1961">
        <f>IMAGE("https://raw.githubusercontent.com/stautonico/tcg-livingdex/main/images/654/1.png", 2)</f>
        <v>0</v>
      </c>
      <c r="D1961">
        <f>IMAGE("https://raw.githubusercontent.com/stautonico/tcg-livingdex/main/images/654/2.png", 2)</f>
        <v>0</v>
      </c>
      <c r="G1961" t="s">
        <v>9</v>
      </c>
    </row>
    <row r="1962" spans="1:7">
      <c r="C1962" s="4" t="s">
        <v>1477</v>
      </c>
      <c r="D1962" s="4" t="s">
        <v>1478</v>
      </c>
    </row>
    <row r="1964" spans="1:7" ht="264" customHeight="1">
      <c r="A1964" s="2">
        <v>655</v>
      </c>
      <c r="B1964" s="3" t="s">
        <v>1479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8</v>
      </c>
    </row>
    <row r="1967" spans="1:7" ht="264" customHeight="1">
      <c r="A1967" s="2">
        <v>656</v>
      </c>
      <c r="B1967" s="3" t="s">
        <v>1480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8</v>
      </c>
    </row>
    <row r="1970" spans="1:7" ht="264" customHeight="1">
      <c r="A1970" s="2">
        <v>657</v>
      </c>
      <c r="B1970" s="3" t="s">
        <v>1481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8</v>
      </c>
    </row>
    <row r="1973" spans="1:7" ht="264" customHeight="1">
      <c r="A1973" s="2">
        <v>658</v>
      </c>
      <c r="B1973" s="3" t="s">
        <v>1482</v>
      </c>
      <c r="C1973">
        <f>IMAGE("https://raw.githubusercontent.com/stautonico/tcg-livingdex/main/images/658/1.png", 2)</f>
        <v>0</v>
      </c>
      <c r="D1973">
        <f>IMAGE("https://raw.githubusercontent.com/stautonico/tcg-livingdex/main/images/658/2.png", 2)</f>
        <v>0</v>
      </c>
      <c r="E1973">
        <f>IMAGE("https://raw.githubusercontent.com/stautonico/tcg-livingdex/main/images/658/3.png", 2)</f>
        <v>0</v>
      </c>
      <c r="F1973">
        <f>IMAGE("https://raw.githubusercontent.com/stautonico/tcg-livingdex/main/images/658/4.png", 2)</f>
        <v>0</v>
      </c>
      <c r="G1973" t="s">
        <v>9</v>
      </c>
    </row>
    <row r="1974" spans="1:7">
      <c r="C1974" s="4" t="s">
        <v>1483</v>
      </c>
      <c r="D1974" s="4" t="s">
        <v>1484</v>
      </c>
      <c r="E1974" s="4" t="s">
        <v>1485</v>
      </c>
      <c r="F1974" s="4" t="s">
        <v>1486</v>
      </c>
    </row>
    <row r="1976" spans="1:7" ht="264" customHeight="1">
      <c r="A1976" s="2">
        <v>659</v>
      </c>
      <c r="B1976" s="3" t="s">
        <v>1487</v>
      </c>
      <c r="C1976">
        <f>IMAGE("https://raw.githubusercontent.com/stautonico/tcg-livingdex/main/images/659/1.png", 2)</f>
        <v>0</v>
      </c>
      <c r="D1976">
        <f>IMAGE("https://raw.githubusercontent.com/stautonico/tcg-livingdex/main/images/659/2.png", 2)</f>
        <v>0</v>
      </c>
      <c r="E1976">
        <f>IMAGE("https://raw.githubusercontent.com/stautonico/tcg-livingdex/main/images/659/3.png", 2)</f>
        <v>0</v>
      </c>
      <c r="F1976">
        <f>IMAGE("https://raw.githubusercontent.com/stautonico/tcg-livingdex/main/images/659/4.png", 2)</f>
        <v>0</v>
      </c>
      <c r="G1976" t="s">
        <v>9</v>
      </c>
    </row>
    <row r="1977" spans="1:7">
      <c r="C1977" s="4" t="s">
        <v>1488</v>
      </c>
      <c r="D1977" s="4" t="s">
        <v>1489</v>
      </c>
      <c r="E1977" s="4" t="s">
        <v>1490</v>
      </c>
      <c r="F1977" s="4" t="s">
        <v>1491</v>
      </c>
    </row>
    <row r="1979" spans="1:7" ht="264" customHeight="1">
      <c r="A1979" s="2">
        <v>660</v>
      </c>
      <c r="B1979" s="3" t="s">
        <v>1492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8</v>
      </c>
    </row>
    <row r="1982" spans="1:7" ht="264" customHeight="1">
      <c r="A1982" s="2">
        <v>661</v>
      </c>
      <c r="B1982" s="3" t="s">
        <v>1493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8</v>
      </c>
    </row>
    <row r="1985" spans="1:7" ht="264" customHeight="1">
      <c r="A1985" s="2">
        <v>662</v>
      </c>
      <c r="B1985" s="3" t="s">
        <v>1494</v>
      </c>
      <c r="C1985">
        <f>IMAGE("https://raw.githubusercontent.com/stautonico/tcg-livingdex/main/images/662/1.png", 2)</f>
        <v>0</v>
      </c>
      <c r="D1985">
        <f>IMAGE("https://raw.githubusercontent.com/stautonico/tcg-livingdex/main/images/662/2.png", 2)</f>
        <v>0</v>
      </c>
      <c r="E1985">
        <f>IMAGE("https://raw.githubusercontent.com/stautonico/tcg-livingdex/main/images/662/3.png", 2)</f>
        <v>0</v>
      </c>
      <c r="F1985">
        <f>IMAGE("https://raw.githubusercontent.com/stautonico/tcg-livingdex/main/images/662/4.png", 2)</f>
        <v>0</v>
      </c>
      <c r="G1985" t="s">
        <v>9</v>
      </c>
    </row>
    <row r="1986" spans="1:7">
      <c r="C1986" s="4" t="s">
        <v>1495</v>
      </c>
      <c r="D1986" s="4" t="s">
        <v>1496</v>
      </c>
      <c r="E1986" s="4" t="s">
        <v>1497</v>
      </c>
      <c r="F1986" s="4" t="s">
        <v>1498</v>
      </c>
    </row>
    <row r="1988" spans="1:7" ht="264" customHeight="1">
      <c r="A1988" s="2">
        <v>663</v>
      </c>
      <c r="B1988" s="3" t="s">
        <v>1499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8</v>
      </c>
    </row>
    <row r="1991" spans="1:7" ht="264" customHeight="1">
      <c r="A1991" s="2">
        <v>664</v>
      </c>
      <c r="B1991" s="3" t="s">
        <v>1500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8</v>
      </c>
    </row>
    <row r="1994" spans="1:7" ht="264" customHeight="1">
      <c r="A1994" s="2">
        <v>665</v>
      </c>
      <c r="B1994" s="3" t="s">
        <v>1501</v>
      </c>
      <c r="C1994">
        <f>IMAGE("https://raw.githubusercontent.com/stautonico/tcg-livingdex/main/images/665/1.png", 2)</f>
        <v>0</v>
      </c>
      <c r="D1994">
        <f>IMAGE("https://raw.githubusercontent.com/stautonico/tcg-livingdex/main/images/665/2.png", 2)</f>
        <v>0</v>
      </c>
      <c r="E1994">
        <f>IMAGE("https://raw.githubusercontent.com/stautonico/tcg-livingdex/main/images/665/3.png", 2)</f>
        <v>0</v>
      </c>
      <c r="F1994">
        <f>IMAGE("https://raw.githubusercontent.com/stautonico/tcg-livingdex/main/images/665/4.png", 2)</f>
        <v>0</v>
      </c>
      <c r="G1994" t="s">
        <v>9</v>
      </c>
    </row>
    <row r="1995" spans="1:7">
      <c r="C1995" s="4" t="s">
        <v>1502</v>
      </c>
      <c r="D1995" s="4" t="s">
        <v>1503</v>
      </c>
      <c r="E1995" s="4" t="s">
        <v>1504</v>
      </c>
      <c r="F1995" s="4" t="s">
        <v>1505</v>
      </c>
    </row>
    <row r="1997" spans="1:7" ht="264" customHeight="1">
      <c r="A1997" s="2">
        <v>666</v>
      </c>
      <c r="B1997" s="3" t="s">
        <v>1506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8</v>
      </c>
    </row>
    <row r="2000" spans="1:7" ht="264" customHeight="1">
      <c r="A2000" s="2">
        <v>667</v>
      </c>
      <c r="B2000" s="3" t="s">
        <v>1507</v>
      </c>
      <c r="C2000">
        <f>IMAGE("https://raw.githubusercontent.com/stautonico/tcg-livingdex/main/images/667/1.png", 2)</f>
        <v>0</v>
      </c>
      <c r="D2000">
        <f>IMAGE("https://raw.githubusercontent.com/stautonico/tcg-livingdex/main/images/667/2.png", 2)</f>
        <v>0</v>
      </c>
      <c r="E2000">
        <f>IMAGE("https://raw.githubusercontent.com/stautonico/tcg-livingdex/main/images/667/3.png", 2)</f>
        <v>0</v>
      </c>
      <c r="F2000">
        <f>IMAGE("https://raw.githubusercontent.com/stautonico/tcg-livingdex/main/images/667/4.png", 2)</f>
        <v>0</v>
      </c>
      <c r="G2000" t="s">
        <v>9</v>
      </c>
    </row>
    <row r="2001" spans="1:7">
      <c r="C2001" s="4" t="s">
        <v>1508</v>
      </c>
      <c r="D2001" s="4" t="s">
        <v>1509</v>
      </c>
      <c r="E2001" s="4" t="s">
        <v>1510</v>
      </c>
      <c r="F2001" s="4" t="s">
        <v>1511</v>
      </c>
    </row>
    <row r="2003" spans="1:7" ht="264" customHeight="1">
      <c r="A2003" s="2">
        <v>668</v>
      </c>
      <c r="B2003" s="3" t="s">
        <v>1512</v>
      </c>
      <c r="C2003">
        <f>IMAGE("https://raw.githubusercontent.com/stautonico/tcg-livingdex/main/images/668/1.png", 2)</f>
        <v>0</v>
      </c>
      <c r="D2003">
        <f>IMAGE("https://raw.githubusercontent.com/stautonico/tcg-livingdex/main/images/668/2.png", 2)</f>
        <v>0</v>
      </c>
      <c r="E2003">
        <f>IMAGE("https://raw.githubusercontent.com/stautonico/tcg-livingdex/main/images/668/3.png", 2)</f>
        <v>0</v>
      </c>
      <c r="F2003">
        <f>IMAGE("https://raw.githubusercontent.com/stautonico/tcg-livingdex/main/images/668/4.png", 2)</f>
        <v>0</v>
      </c>
      <c r="G2003" t="s">
        <v>9</v>
      </c>
    </row>
    <row r="2004" spans="1:7">
      <c r="C2004" s="4" t="s">
        <v>1513</v>
      </c>
      <c r="D2004" s="4" t="s">
        <v>1514</v>
      </c>
      <c r="E2004" s="4" t="s">
        <v>1515</v>
      </c>
      <c r="F2004" s="4" t="s">
        <v>1516</v>
      </c>
    </row>
    <row r="2006" spans="1:7" ht="264" customHeight="1">
      <c r="A2006" s="2">
        <v>669</v>
      </c>
      <c r="B2006" s="3" t="s">
        <v>1517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8</v>
      </c>
    </row>
    <row r="2009" spans="1:7" ht="264" customHeight="1">
      <c r="A2009" s="2">
        <v>670</v>
      </c>
      <c r="B2009" s="3" t="s">
        <v>1518</v>
      </c>
      <c r="C2009">
        <f>IMAGE("https://raw.githubusercontent.com/stautonico/tcg-livingdex/main/images/670/1.png", 2)</f>
        <v>0</v>
      </c>
      <c r="D2009">
        <f>IMAGE("https://raw.githubusercontent.com/stautonico/tcg-livingdex/main/images/670/2.png", 2)</f>
        <v>0</v>
      </c>
      <c r="E2009">
        <f>IMAGE("https://raw.githubusercontent.com/stautonico/tcg-livingdex/main/images/670/3.png", 2)</f>
        <v>0</v>
      </c>
      <c r="F2009">
        <f>IMAGE("https://raw.githubusercontent.com/stautonico/tcg-livingdex/main/images/670/4.png", 2)</f>
        <v>0</v>
      </c>
      <c r="G2009" t="s">
        <v>9</v>
      </c>
    </row>
    <row r="2010" spans="1:7">
      <c r="C2010" s="4" t="s">
        <v>1519</v>
      </c>
      <c r="D2010" s="4" t="s">
        <v>1520</v>
      </c>
      <c r="E2010" s="4" t="s">
        <v>1521</v>
      </c>
      <c r="F2010" s="4" t="s">
        <v>1522</v>
      </c>
    </row>
    <row r="2012" spans="1:7" ht="264" customHeight="1">
      <c r="A2012" s="2">
        <v>671</v>
      </c>
      <c r="B2012" s="3" t="s">
        <v>1523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8</v>
      </c>
    </row>
    <row r="2015" spans="1:7" ht="264" customHeight="1">
      <c r="A2015" s="2">
        <v>672</v>
      </c>
      <c r="B2015" s="3" t="s">
        <v>1524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8</v>
      </c>
    </row>
    <row r="2018" spans="1:7" ht="264" customHeight="1">
      <c r="A2018" s="2">
        <v>673</v>
      </c>
      <c r="B2018" s="3" t="s">
        <v>1525</v>
      </c>
      <c r="C2018">
        <f>IMAGE("https://raw.githubusercontent.com/stautonico/tcg-livingdex/main/images/673/1.png", 2)</f>
        <v>0</v>
      </c>
      <c r="D2018">
        <f>IMAGE("https://raw.githubusercontent.com/stautonico/tcg-livingdex/main/images/673/2.png", 2)</f>
        <v>0</v>
      </c>
      <c r="E2018">
        <f>IMAGE("https://raw.githubusercontent.com/stautonico/tcg-livingdex/main/images/673/3.png", 2)</f>
        <v>0</v>
      </c>
      <c r="F2018">
        <f>IMAGE("https://raw.githubusercontent.com/stautonico/tcg-livingdex/main/images/673/4.png", 2)</f>
        <v>0</v>
      </c>
      <c r="G2018" t="s">
        <v>9</v>
      </c>
    </row>
    <row r="2019" spans="1:7">
      <c r="C2019" s="4" t="s">
        <v>1526</v>
      </c>
      <c r="D2019" s="4" t="s">
        <v>1527</v>
      </c>
      <c r="E2019" s="4" t="s">
        <v>1528</v>
      </c>
      <c r="F2019" s="4" t="s">
        <v>1529</v>
      </c>
    </row>
    <row r="2021" spans="1:7" ht="264" customHeight="1">
      <c r="A2021" s="2">
        <v>674</v>
      </c>
      <c r="B2021" s="3" t="s">
        <v>1530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8</v>
      </c>
    </row>
    <row r="2024" spans="1:7" ht="264" customHeight="1">
      <c r="A2024" s="2">
        <v>675</v>
      </c>
      <c r="B2024" s="3" t="s">
        <v>1531</v>
      </c>
      <c r="C2024">
        <f>IMAGE("https://raw.githubusercontent.com/stautonico/tcg-livingdex/main/images/675/1.png", 2)</f>
        <v>0</v>
      </c>
      <c r="D2024">
        <f>IMAGE("https://raw.githubusercontent.com/stautonico/tcg-livingdex/main/images/675/2.png", 2)</f>
        <v>0</v>
      </c>
      <c r="E2024">
        <f>IMAGE("https://raw.githubusercontent.com/stautonico/tcg-livingdex/main/images/675/3.png", 2)</f>
        <v>0</v>
      </c>
      <c r="F2024">
        <f>IMAGE("https://raw.githubusercontent.com/stautonico/tcg-livingdex/main/images/675/4.png", 2)</f>
        <v>0</v>
      </c>
      <c r="G2024" t="s">
        <v>9</v>
      </c>
    </row>
    <row r="2025" spans="1:7">
      <c r="C2025" s="4" t="s">
        <v>1532</v>
      </c>
      <c r="D2025" s="4" t="s">
        <v>1533</v>
      </c>
      <c r="E2025" s="4" t="s">
        <v>1534</v>
      </c>
      <c r="F2025" s="4" t="s">
        <v>1535</v>
      </c>
    </row>
    <row r="2027" spans="1:7" ht="264" customHeight="1">
      <c r="A2027" s="2">
        <v>676</v>
      </c>
      <c r="B2027" s="3" t="s">
        <v>1536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8</v>
      </c>
    </row>
    <row r="2030" spans="1:7" ht="264" customHeight="1">
      <c r="A2030" s="2">
        <v>677</v>
      </c>
      <c r="B2030" s="3" t="s">
        <v>1537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8</v>
      </c>
    </row>
    <row r="2033" spans="1:7" ht="264" customHeight="1">
      <c r="A2033" s="2">
        <v>678</v>
      </c>
      <c r="B2033" s="3" t="s">
        <v>1538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8</v>
      </c>
    </row>
    <row r="2036" spans="1:7" ht="264" customHeight="1">
      <c r="A2036" s="2">
        <v>679</v>
      </c>
      <c r="B2036" s="3" t="s">
        <v>1539</v>
      </c>
      <c r="C2036">
        <f>IMAGE("https://raw.githubusercontent.com/stautonico/tcg-livingdex/main/images/679/1.png", 2)</f>
        <v>0</v>
      </c>
      <c r="D2036">
        <f>IMAGE("https://raw.githubusercontent.com/stautonico/tcg-livingdex/main/images/679/2.png", 2)</f>
        <v>0</v>
      </c>
      <c r="E2036">
        <f>IMAGE("https://raw.githubusercontent.com/stautonico/tcg-livingdex/main/images/679/3.png", 2)</f>
        <v>0</v>
      </c>
      <c r="F2036">
        <f>IMAGE("https://raw.githubusercontent.com/stautonico/tcg-livingdex/main/images/679/4.png", 2)</f>
        <v>0</v>
      </c>
      <c r="G2036" t="s">
        <v>9</v>
      </c>
    </row>
    <row r="2037" spans="1:7">
      <c r="C2037" s="4" t="s">
        <v>1540</v>
      </c>
      <c r="D2037" s="4" t="s">
        <v>1541</v>
      </c>
      <c r="E2037" s="4" t="s">
        <v>1542</v>
      </c>
      <c r="F2037" s="4" t="s">
        <v>1543</v>
      </c>
    </row>
    <row r="2039" spans="1:7" ht="264" customHeight="1">
      <c r="A2039" s="2">
        <v>680</v>
      </c>
      <c r="B2039" s="3" t="s">
        <v>1544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8</v>
      </c>
    </row>
    <row r="2042" spans="1:7" ht="264" customHeight="1">
      <c r="A2042" s="2">
        <v>681</v>
      </c>
      <c r="B2042" s="3" t="s">
        <v>1545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8</v>
      </c>
    </row>
    <row r="2045" spans="1:7" ht="264" customHeight="1">
      <c r="A2045" s="2">
        <v>682</v>
      </c>
      <c r="B2045" s="3" t="s">
        <v>1546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8</v>
      </c>
    </row>
    <row r="2048" spans="1:7" ht="264" customHeight="1">
      <c r="A2048" s="2">
        <v>683</v>
      </c>
      <c r="B2048" s="3" t="s">
        <v>1547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8</v>
      </c>
    </row>
    <row r="2051" spans="1:7" ht="264" customHeight="1">
      <c r="A2051" s="2">
        <v>684</v>
      </c>
      <c r="B2051" s="3" t="s">
        <v>1548</v>
      </c>
      <c r="C2051">
        <f>IMAGE("https://raw.githubusercontent.com/stautonico/tcg-livingdex/main/images/684/1.png", 2)</f>
        <v>0</v>
      </c>
      <c r="D2051">
        <f>IMAGE("https://raw.githubusercontent.com/stautonico/tcg-livingdex/main/images/684/2.png", 2)</f>
        <v>0</v>
      </c>
      <c r="E2051">
        <f>IMAGE("https://raw.githubusercontent.com/stautonico/tcg-livingdex/main/images/684/3.png", 2)</f>
        <v>0</v>
      </c>
      <c r="F2051">
        <f>IMAGE("https://raw.githubusercontent.com/stautonico/tcg-livingdex/main/images/684/4.png", 2)</f>
        <v>0</v>
      </c>
      <c r="G2051" t="s">
        <v>9</v>
      </c>
    </row>
    <row r="2052" spans="1:7">
      <c r="C2052" s="4" t="s">
        <v>1549</v>
      </c>
      <c r="D2052" s="4" t="s">
        <v>1550</v>
      </c>
      <c r="E2052" s="4" t="s">
        <v>1551</v>
      </c>
      <c r="F2052" s="4" t="s">
        <v>1552</v>
      </c>
    </row>
    <row r="2054" spans="1:7" ht="264" customHeight="1">
      <c r="A2054" s="2">
        <v>685</v>
      </c>
      <c r="B2054" s="3" t="s">
        <v>1553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8</v>
      </c>
    </row>
    <row r="2057" spans="1:7" ht="264" customHeight="1">
      <c r="A2057" s="2">
        <v>686</v>
      </c>
      <c r="B2057" s="3" t="s">
        <v>1554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8</v>
      </c>
    </row>
    <row r="2060" spans="1:7" ht="264" customHeight="1">
      <c r="A2060" s="2">
        <v>687</v>
      </c>
      <c r="B2060" s="3" t="s">
        <v>1555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8</v>
      </c>
    </row>
    <row r="2063" spans="1:7" ht="264" customHeight="1">
      <c r="A2063" s="2">
        <v>688</v>
      </c>
      <c r="B2063" s="3" t="s">
        <v>1556</v>
      </c>
      <c r="C2063">
        <f>IMAGE("https://raw.githubusercontent.com/stautonico/tcg-livingdex/main/images/688/1.png", 2)</f>
        <v>0</v>
      </c>
      <c r="D2063">
        <f>IMAGE("https://raw.githubusercontent.com/stautonico/tcg-livingdex/main/images/688/2.png", 2)</f>
        <v>0</v>
      </c>
      <c r="E2063">
        <f>IMAGE("https://raw.githubusercontent.com/stautonico/tcg-livingdex/main/images/688/3.png", 2)</f>
        <v>0</v>
      </c>
      <c r="F2063">
        <f>IMAGE("https://raw.githubusercontent.com/stautonico/tcg-livingdex/main/images/688/4.png", 2)</f>
        <v>0</v>
      </c>
      <c r="G2063" t="s">
        <v>9</v>
      </c>
    </row>
    <row r="2064" spans="1:7">
      <c r="C2064" s="4" t="s">
        <v>1557</v>
      </c>
      <c r="D2064" s="4" t="s">
        <v>1558</v>
      </c>
      <c r="E2064" s="4" t="s">
        <v>1559</v>
      </c>
      <c r="F2064" s="4" t="s">
        <v>1560</v>
      </c>
    </row>
    <row r="2066" spans="1:7" ht="264" customHeight="1">
      <c r="A2066" s="2">
        <v>689</v>
      </c>
      <c r="B2066" s="3" t="s">
        <v>1561</v>
      </c>
      <c r="C2066">
        <f>IMAGE("https://raw.githubusercontent.com/stautonico/tcg-livingdex/main/images/689/1.png", 2)</f>
        <v>0</v>
      </c>
      <c r="D2066">
        <f>IMAGE("https://raw.githubusercontent.com/stautonico/tcg-livingdex/main/images/689/2.png", 2)</f>
        <v>0</v>
      </c>
      <c r="E2066">
        <f>IMAGE("https://raw.githubusercontent.com/stautonico/tcg-livingdex/main/images/689/3.png", 2)</f>
        <v>0</v>
      </c>
      <c r="F2066">
        <f>IMAGE("https://raw.githubusercontent.com/stautonico/tcg-livingdex/main/images/689/4.png", 2)</f>
        <v>0</v>
      </c>
      <c r="G2066" t="s">
        <v>9</v>
      </c>
    </row>
    <row r="2067" spans="1:7">
      <c r="C2067" s="4" t="s">
        <v>1562</v>
      </c>
      <c r="D2067" s="4" t="s">
        <v>1563</v>
      </c>
      <c r="E2067" s="4" t="s">
        <v>1564</v>
      </c>
      <c r="F2067" s="4" t="s">
        <v>1565</v>
      </c>
    </row>
    <row r="2069" spans="1:7" ht="264" customHeight="1">
      <c r="A2069" s="2">
        <v>690</v>
      </c>
      <c r="B2069" s="3" t="s">
        <v>1566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8</v>
      </c>
    </row>
    <row r="2072" spans="1:7" ht="264" customHeight="1">
      <c r="A2072" s="2">
        <v>691</v>
      </c>
      <c r="B2072" s="3" t="s">
        <v>1567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8</v>
      </c>
    </row>
    <row r="2075" spans="1:7" ht="264" customHeight="1">
      <c r="A2075" s="2">
        <v>692</v>
      </c>
      <c r="B2075" s="3" t="s">
        <v>1568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8</v>
      </c>
    </row>
    <row r="2078" spans="1:7" ht="264" customHeight="1">
      <c r="A2078" s="2">
        <v>693</v>
      </c>
      <c r="B2078" s="3" t="s">
        <v>1569</v>
      </c>
      <c r="C2078">
        <f>IMAGE("https://raw.githubusercontent.com/stautonico/tcg-livingdex/main/images/693/1.png", 2)</f>
        <v>0</v>
      </c>
      <c r="D2078">
        <f>IMAGE("https://raw.githubusercontent.com/stautonico/tcg-livingdex/main/images/693/2.png", 2)</f>
        <v>0</v>
      </c>
      <c r="E2078">
        <f>IMAGE("https://raw.githubusercontent.com/stautonico/tcg-livingdex/main/images/693/3.png", 2)</f>
        <v>0</v>
      </c>
      <c r="F2078">
        <f>IMAGE("https://raw.githubusercontent.com/stautonico/tcg-livingdex/main/images/693/4.png", 2)</f>
        <v>0</v>
      </c>
      <c r="G2078" t="s">
        <v>9</v>
      </c>
    </row>
    <row r="2079" spans="1:7">
      <c r="C2079" s="4" t="s">
        <v>1570</v>
      </c>
      <c r="D2079" s="4" t="s">
        <v>1571</v>
      </c>
      <c r="E2079" s="4" t="s">
        <v>1572</v>
      </c>
      <c r="F2079" s="4" t="s">
        <v>1573</v>
      </c>
    </row>
    <row r="2081" spans="1:7" ht="264" customHeight="1">
      <c r="A2081" s="2">
        <v>694</v>
      </c>
      <c r="B2081" s="3" t="s">
        <v>1574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8</v>
      </c>
    </row>
    <row r="2084" spans="1:7" ht="264" customHeight="1">
      <c r="A2084" s="2">
        <v>695</v>
      </c>
      <c r="B2084" s="3" t="s">
        <v>1575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8</v>
      </c>
    </row>
    <row r="2087" spans="1:7" ht="264" customHeight="1">
      <c r="A2087" s="2">
        <v>696</v>
      </c>
      <c r="B2087" s="3" t="s">
        <v>1576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8</v>
      </c>
    </row>
    <row r="2090" spans="1:7" ht="264" customHeight="1">
      <c r="A2090" s="2">
        <v>697</v>
      </c>
      <c r="B2090" s="3" t="s">
        <v>1577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8</v>
      </c>
    </row>
    <row r="2093" spans="1:7" ht="264" customHeight="1">
      <c r="A2093" s="2">
        <v>698</v>
      </c>
      <c r="B2093" s="3" t="s">
        <v>1578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8</v>
      </c>
    </row>
    <row r="2096" spans="1:7" ht="264" customHeight="1">
      <c r="A2096" s="2">
        <v>699</v>
      </c>
      <c r="B2096" s="3" t="s">
        <v>1579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8</v>
      </c>
    </row>
    <row r="2099" spans="1:7" ht="264" customHeight="1">
      <c r="A2099" s="2">
        <v>700</v>
      </c>
      <c r="B2099" s="3" t="s">
        <v>1580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8</v>
      </c>
    </row>
    <row r="2102" spans="1:7" ht="264" customHeight="1">
      <c r="A2102" s="2">
        <v>701</v>
      </c>
      <c r="B2102" s="3" t="s">
        <v>1581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8</v>
      </c>
    </row>
    <row r="2105" spans="1:7" ht="264" customHeight="1">
      <c r="A2105" s="2">
        <v>702</v>
      </c>
      <c r="B2105" s="3" t="s">
        <v>1582</v>
      </c>
      <c r="C2105">
        <f>IMAGE("https://raw.githubusercontent.com/stautonico/tcg-livingdex/main/images/702/1.png", 2)</f>
        <v>0</v>
      </c>
      <c r="D2105">
        <f>IMAGE("https://raw.githubusercontent.com/stautonico/tcg-livingdex/main/images/702/2.png", 2)</f>
        <v>0</v>
      </c>
      <c r="E2105">
        <f>IMAGE("https://raw.githubusercontent.com/stautonico/tcg-livingdex/main/images/702/3.png", 2)</f>
        <v>0</v>
      </c>
      <c r="F2105">
        <f>IMAGE("https://raw.githubusercontent.com/stautonico/tcg-livingdex/main/images/702/4.png", 2)</f>
        <v>0</v>
      </c>
      <c r="G2105" t="s">
        <v>9</v>
      </c>
    </row>
    <row r="2106" spans="1:7">
      <c r="C2106" s="4" t="s">
        <v>1583</v>
      </c>
      <c r="D2106" s="4" t="s">
        <v>1584</v>
      </c>
      <c r="E2106" s="4" t="s">
        <v>1585</v>
      </c>
      <c r="F2106" s="4" t="s">
        <v>1586</v>
      </c>
    </row>
    <row r="2108" spans="1:7" ht="264" customHeight="1">
      <c r="A2108" s="2">
        <v>703</v>
      </c>
      <c r="B2108" s="3" t="s">
        <v>1587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8</v>
      </c>
    </row>
    <row r="2111" spans="1:7" ht="264" customHeight="1">
      <c r="A2111" s="2">
        <v>704</v>
      </c>
      <c r="B2111" s="3" t="s">
        <v>1588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8</v>
      </c>
    </row>
    <row r="2114" spans="1:7" ht="264" customHeight="1">
      <c r="A2114" s="2">
        <v>705</v>
      </c>
      <c r="B2114" s="3" t="s">
        <v>1589</v>
      </c>
      <c r="C2114">
        <f>IMAGE("https://raw.githubusercontent.com/stautonico/tcg-livingdex/main/images/705/1.png", 2)</f>
        <v>0</v>
      </c>
      <c r="D2114">
        <f>IMAGE("https://raw.githubusercontent.com/stautonico/tcg-livingdex/main/images/705/2.png", 2)</f>
        <v>0</v>
      </c>
      <c r="E2114">
        <f>IMAGE("https://raw.githubusercontent.com/stautonico/tcg-livingdex/main/images/705/3.png", 2)</f>
        <v>0</v>
      </c>
      <c r="F2114">
        <f>IMAGE("https://raw.githubusercontent.com/stautonico/tcg-livingdex/main/images/705/4.png", 2)</f>
        <v>0</v>
      </c>
      <c r="G2114" t="s">
        <v>9</v>
      </c>
    </row>
    <row r="2115" spans="1:7">
      <c r="C2115" s="4" t="s">
        <v>1590</v>
      </c>
      <c r="D2115" s="4" t="s">
        <v>1591</v>
      </c>
      <c r="E2115" s="4" t="s">
        <v>1592</v>
      </c>
      <c r="F2115" s="4" t="s">
        <v>1593</v>
      </c>
    </row>
    <row r="2117" spans="1:7" ht="264" customHeight="1">
      <c r="A2117" s="2">
        <v>706</v>
      </c>
      <c r="B2117" s="3" t="s">
        <v>1594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1595</v>
      </c>
    </row>
    <row r="2120" spans="1:7" ht="264" customHeight="1">
      <c r="A2120" s="2">
        <v>707</v>
      </c>
      <c r="B2120" s="3" t="s">
        <v>1596</v>
      </c>
      <c r="C2120">
        <f>IMAGE("https://raw.githubusercontent.com/stautonico/tcg-livingdex/main/images/707/1.png", 2)</f>
        <v>0</v>
      </c>
      <c r="D2120">
        <f>IMAGE("https://raw.githubusercontent.com/stautonico/tcg-livingdex/main/images/707/2.png", 2)</f>
        <v>0</v>
      </c>
      <c r="E2120">
        <f>IMAGE("https://raw.githubusercontent.com/stautonico/tcg-livingdex/main/images/707/3.png", 2)</f>
        <v>0</v>
      </c>
      <c r="F2120">
        <f>IMAGE("https://raw.githubusercontent.com/stautonico/tcg-livingdex/main/images/707/4.png", 2)</f>
        <v>0</v>
      </c>
      <c r="G2120" t="s">
        <v>9</v>
      </c>
    </row>
    <row r="2121" spans="1:7">
      <c r="C2121" s="4" t="s">
        <v>1597</v>
      </c>
      <c r="D2121" s="4" t="s">
        <v>1598</v>
      </c>
      <c r="E2121" s="4" t="s">
        <v>1599</v>
      </c>
      <c r="F2121" s="4" t="s">
        <v>1600</v>
      </c>
    </row>
    <row r="2123" spans="1:7" ht="264" customHeight="1">
      <c r="A2123" s="2">
        <v>708</v>
      </c>
      <c r="B2123" s="3" t="s">
        <v>1601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8</v>
      </c>
    </row>
    <row r="2126" spans="1:7" ht="264" customHeight="1">
      <c r="A2126" s="2">
        <v>709</v>
      </c>
      <c r="B2126" s="3" t="s">
        <v>1602</v>
      </c>
      <c r="C2126">
        <f>IMAGE("https://raw.githubusercontent.com/stautonico/tcg-livingdex/main/images/709/1.png", 2)</f>
        <v>0</v>
      </c>
      <c r="D2126">
        <f>IMAGE("https://raw.githubusercontent.com/stautonico/tcg-livingdex/main/images/709/2.png", 2)</f>
        <v>0</v>
      </c>
      <c r="E2126">
        <f>IMAGE("https://raw.githubusercontent.com/stautonico/tcg-livingdex/main/images/709/3.png", 2)</f>
        <v>0</v>
      </c>
      <c r="F2126">
        <f>IMAGE("https://raw.githubusercontent.com/stautonico/tcg-livingdex/main/images/709/4.png", 2)</f>
        <v>0</v>
      </c>
      <c r="G2126" t="s">
        <v>9</v>
      </c>
    </row>
    <row r="2127" spans="1:7">
      <c r="C2127" s="4" t="s">
        <v>1603</v>
      </c>
      <c r="D2127" s="4" t="s">
        <v>1604</v>
      </c>
      <c r="E2127" s="4" t="s">
        <v>1605</v>
      </c>
      <c r="F2127" s="4" t="s">
        <v>1606</v>
      </c>
    </row>
    <row r="2129" spans="1:7" ht="264" customHeight="1">
      <c r="A2129" s="2">
        <v>710</v>
      </c>
      <c r="B2129" s="3" t="s">
        <v>1607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8</v>
      </c>
    </row>
    <row r="2132" spans="1:7" ht="264" customHeight="1">
      <c r="A2132" s="2">
        <v>711</v>
      </c>
      <c r="B2132" s="3" t="s">
        <v>1608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8</v>
      </c>
    </row>
    <row r="2135" spans="1:7" ht="264" customHeight="1">
      <c r="A2135" s="2">
        <v>712</v>
      </c>
      <c r="B2135" s="3" t="s">
        <v>1609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8</v>
      </c>
    </row>
    <row r="2138" spans="1:7" ht="264" customHeight="1">
      <c r="A2138" s="2">
        <v>713</v>
      </c>
      <c r="B2138" s="3" t="s">
        <v>1610</v>
      </c>
      <c r="C2138">
        <f>IMAGE("https://raw.githubusercontent.com/stautonico/tcg-livingdex/main/images/713/1.png", 2)</f>
        <v>0</v>
      </c>
      <c r="D2138">
        <f>IMAGE("https://raw.githubusercontent.com/stautonico/tcg-livingdex/main/images/713/2.png", 2)</f>
        <v>0</v>
      </c>
      <c r="E2138">
        <f>IMAGE("https://raw.githubusercontent.com/stautonico/tcg-livingdex/main/images/713/3.png", 2)</f>
        <v>0</v>
      </c>
      <c r="F2138">
        <f>IMAGE("https://raw.githubusercontent.com/stautonico/tcg-livingdex/main/images/713/4.png", 2)</f>
        <v>0</v>
      </c>
      <c r="G2138" t="s">
        <v>9</v>
      </c>
    </row>
    <row r="2139" spans="1:7">
      <c r="C2139" s="4" t="s">
        <v>1611</v>
      </c>
      <c r="D2139" s="4" t="s">
        <v>1612</v>
      </c>
      <c r="E2139" s="4" t="s">
        <v>1613</v>
      </c>
      <c r="F2139" s="4" t="s">
        <v>1614</v>
      </c>
    </row>
    <row r="2141" spans="1:7" ht="264" customHeight="1">
      <c r="A2141" s="2">
        <v>714</v>
      </c>
      <c r="B2141" s="3" t="s">
        <v>1615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8</v>
      </c>
    </row>
    <row r="2144" spans="1:7" ht="264" customHeight="1">
      <c r="A2144" s="2">
        <v>715</v>
      </c>
      <c r="B2144" s="3" t="s">
        <v>1616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8</v>
      </c>
    </row>
    <row r="2147" spans="1:7" ht="264" customHeight="1">
      <c r="A2147" s="2">
        <v>716</v>
      </c>
      <c r="B2147" s="3" t="s">
        <v>1617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8</v>
      </c>
    </row>
    <row r="2150" spans="1:7" ht="264" customHeight="1">
      <c r="A2150" s="2">
        <v>717</v>
      </c>
      <c r="B2150" s="3" t="s">
        <v>1618</v>
      </c>
      <c r="C2150">
        <f>IMAGE("https://raw.githubusercontent.com/stautonico/tcg-livingdex/main/images/717/1.png", 2)</f>
        <v>0</v>
      </c>
      <c r="D2150">
        <f>IMAGE("https://raw.githubusercontent.com/stautonico/tcg-livingdex/main/images/717/2.png", 2)</f>
        <v>0</v>
      </c>
      <c r="E2150">
        <f>IMAGE("https://raw.githubusercontent.com/stautonico/tcg-livingdex/main/images/717/3.png", 2)</f>
        <v>0</v>
      </c>
      <c r="F2150">
        <f>IMAGE("https://raw.githubusercontent.com/stautonico/tcg-livingdex/main/images/717/4.png", 2)</f>
        <v>0</v>
      </c>
      <c r="G2150" t="s">
        <v>9</v>
      </c>
    </row>
    <row r="2151" spans="1:7">
      <c r="C2151" s="4" t="s">
        <v>1619</v>
      </c>
      <c r="D2151" s="4" t="s">
        <v>1620</v>
      </c>
      <c r="E2151" s="4" t="s">
        <v>1621</v>
      </c>
      <c r="F2151" s="4" t="s">
        <v>1622</v>
      </c>
    </row>
    <row r="2153" spans="1:7" ht="264" customHeight="1">
      <c r="A2153" s="2">
        <v>718</v>
      </c>
      <c r="B2153" s="3" t="s">
        <v>1623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8</v>
      </c>
    </row>
    <row r="2156" spans="1:7" ht="264" customHeight="1">
      <c r="A2156" s="2">
        <v>719</v>
      </c>
      <c r="B2156" s="3" t="s">
        <v>1624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8</v>
      </c>
    </row>
    <row r="2159" spans="1:7" ht="264" customHeight="1">
      <c r="A2159" s="2">
        <v>720</v>
      </c>
      <c r="B2159" s="3" t="s">
        <v>1625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8</v>
      </c>
    </row>
    <row r="2162" spans="1:7" ht="264" customHeight="1">
      <c r="A2162" s="2">
        <v>721</v>
      </c>
      <c r="B2162" s="3" t="s">
        <v>1626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8</v>
      </c>
    </row>
    <row r="2165" spans="1:7" ht="264" customHeight="1">
      <c r="A2165" s="2">
        <v>722</v>
      </c>
      <c r="B2165" s="3" t="s">
        <v>1627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8</v>
      </c>
    </row>
    <row r="2168" spans="1:7" ht="264" customHeight="1">
      <c r="A2168" s="2">
        <v>723</v>
      </c>
      <c r="B2168" s="3" t="s">
        <v>1628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8</v>
      </c>
    </row>
    <row r="2171" spans="1:7" ht="264" customHeight="1">
      <c r="A2171" s="2">
        <v>724</v>
      </c>
      <c r="B2171" s="3" t="s">
        <v>1629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8</v>
      </c>
    </row>
    <row r="2174" spans="1:7" ht="264" customHeight="1">
      <c r="A2174" s="2">
        <v>725</v>
      </c>
      <c r="B2174" s="3" t="s">
        <v>1630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8</v>
      </c>
    </row>
    <row r="2177" spans="1:7" ht="264" customHeight="1">
      <c r="A2177" s="2">
        <v>726</v>
      </c>
      <c r="B2177" s="3" t="s">
        <v>1631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8</v>
      </c>
    </row>
    <row r="2180" spans="1:7" ht="264" customHeight="1">
      <c r="A2180" s="2">
        <v>727</v>
      </c>
      <c r="B2180" s="3" t="s">
        <v>1632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8</v>
      </c>
    </row>
    <row r="2183" spans="1:7" ht="264" customHeight="1">
      <c r="A2183" s="2">
        <v>728</v>
      </c>
      <c r="B2183" s="3" t="s">
        <v>1633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8</v>
      </c>
    </row>
    <row r="2186" spans="1:7" ht="264" customHeight="1">
      <c r="A2186" s="2">
        <v>729</v>
      </c>
      <c r="B2186" s="3" t="s">
        <v>1634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8</v>
      </c>
    </row>
    <row r="2189" spans="1:7" ht="264" customHeight="1">
      <c r="A2189" s="2">
        <v>730</v>
      </c>
      <c r="B2189" s="3" t="s">
        <v>1635</v>
      </c>
      <c r="C2189">
        <f>IMAGE("https://raw.githubusercontent.com/stautonico/tcg-livingdex/main/images/730/1.png", 2)</f>
        <v>0</v>
      </c>
      <c r="D2189">
        <f>IMAGE("https://raw.githubusercontent.com/stautonico/tcg-livingdex/main/images/730/2.png", 2)</f>
        <v>0</v>
      </c>
      <c r="E2189">
        <f>IMAGE("https://raw.githubusercontent.com/stautonico/tcg-livingdex/main/images/730/3.png", 2)</f>
        <v>0</v>
      </c>
      <c r="F2189">
        <f>IMAGE("https://raw.githubusercontent.com/stautonico/tcg-livingdex/main/images/730/4.png", 2)</f>
        <v>0</v>
      </c>
      <c r="G2189" t="s">
        <v>9</v>
      </c>
    </row>
    <row r="2190" spans="1:7">
      <c r="C2190" s="4" t="s">
        <v>1636</v>
      </c>
      <c r="D2190" s="4" t="s">
        <v>1637</v>
      </c>
      <c r="E2190" s="4" t="s">
        <v>1638</v>
      </c>
      <c r="F2190" s="4" t="s">
        <v>1639</v>
      </c>
    </row>
    <row r="2192" spans="1:7" ht="264" customHeight="1">
      <c r="A2192" s="2">
        <v>731</v>
      </c>
      <c r="B2192" s="3" t="s">
        <v>1640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8</v>
      </c>
    </row>
    <row r="2195" spans="1:7" ht="264" customHeight="1">
      <c r="A2195" s="2">
        <v>732</v>
      </c>
      <c r="B2195" s="3" t="s">
        <v>1641</v>
      </c>
      <c r="C2195">
        <f>IMAGE("https://raw.githubusercontent.com/stautonico/tcg-livingdex/main/images/732/1.png", 2)</f>
        <v>0</v>
      </c>
      <c r="D2195">
        <f>IMAGE("https://raw.githubusercontent.com/stautonico/tcg-livingdex/main/images/732/2.png", 2)</f>
        <v>0</v>
      </c>
      <c r="E2195">
        <f>IMAGE("https://raw.githubusercontent.com/stautonico/tcg-livingdex/main/images/732/3.png", 2)</f>
        <v>0</v>
      </c>
      <c r="G2195" t="s">
        <v>9</v>
      </c>
    </row>
    <row r="2196" spans="1:7">
      <c r="C2196" s="4" t="s">
        <v>1642</v>
      </c>
      <c r="D2196" s="4" t="s">
        <v>1643</v>
      </c>
      <c r="E2196" s="4" t="s">
        <v>1644</v>
      </c>
    </row>
    <row r="2198" spans="1:7" ht="264" customHeight="1">
      <c r="A2198" s="2">
        <v>733</v>
      </c>
      <c r="B2198" s="3" t="s">
        <v>1645</v>
      </c>
      <c r="C2198">
        <f>IMAGE("https://raw.githubusercontent.com/stautonico/tcg-livingdex/main/images/733/1.png", 2)</f>
        <v>0</v>
      </c>
      <c r="D2198">
        <f>IMAGE("https://raw.githubusercontent.com/stautonico/tcg-livingdex/main/images/733/2.png", 2)</f>
        <v>0</v>
      </c>
      <c r="E2198">
        <f>IMAGE("https://raw.githubusercontent.com/stautonico/tcg-livingdex/main/images/733/3.png", 2)</f>
        <v>0</v>
      </c>
      <c r="G2198" t="s">
        <v>9</v>
      </c>
    </row>
    <row r="2199" spans="1:7">
      <c r="C2199" s="4" t="s">
        <v>1646</v>
      </c>
      <c r="D2199" s="4" t="s">
        <v>1647</v>
      </c>
      <c r="E2199" s="4" t="s">
        <v>1648</v>
      </c>
    </row>
    <row r="2201" spans="1:7" ht="264" customHeight="1">
      <c r="A2201" s="2">
        <v>734</v>
      </c>
      <c r="B2201" s="3" t="s">
        <v>1649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8</v>
      </c>
    </row>
    <row r="2204" spans="1:7" ht="264" customHeight="1">
      <c r="A2204" s="2">
        <v>735</v>
      </c>
      <c r="B2204" s="3" t="s">
        <v>1650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8</v>
      </c>
    </row>
    <row r="2207" spans="1:7" ht="264" customHeight="1">
      <c r="A2207" s="2">
        <v>736</v>
      </c>
      <c r="B2207" s="3" t="s">
        <v>1651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8</v>
      </c>
    </row>
    <row r="2210" spans="1:7" ht="264" customHeight="1">
      <c r="A2210" s="2">
        <v>737</v>
      </c>
      <c r="B2210" s="3" t="s">
        <v>1652</v>
      </c>
      <c r="C2210">
        <f>IMAGE("https://raw.githubusercontent.com/stautonico/tcg-livingdex/main/images/737/1.png", 2)</f>
        <v>0</v>
      </c>
      <c r="D2210">
        <f>IMAGE("https://raw.githubusercontent.com/stautonico/tcg-livingdex/main/images/737/2.png", 2)</f>
        <v>0</v>
      </c>
      <c r="G2210" t="s">
        <v>9</v>
      </c>
    </row>
    <row r="2211" spans="1:7">
      <c r="C2211" s="4" t="s">
        <v>1653</v>
      </c>
      <c r="D2211" s="4" t="s">
        <v>1654</v>
      </c>
    </row>
    <row r="2213" spans="1:7" ht="264" customHeight="1">
      <c r="A2213" s="2">
        <v>738</v>
      </c>
      <c r="B2213" s="3" t="s">
        <v>1655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8</v>
      </c>
    </row>
    <row r="2216" spans="1:7" ht="264" customHeight="1">
      <c r="A2216" s="2">
        <v>739</v>
      </c>
      <c r="B2216" s="3" t="s">
        <v>1656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8</v>
      </c>
    </row>
    <row r="2219" spans="1:7" ht="264" customHeight="1">
      <c r="A2219" s="2">
        <v>740</v>
      </c>
      <c r="B2219" s="3" t="s">
        <v>1657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8</v>
      </c>
    </row>
    <row r="2222" spans="1:7" ht="264" customHeight="1">
      <c r="A2222" s="2">
        <v>741</v>
      </c>
      <c r="B2222" s="3" t="s">
        <v>1658</v>
      </c>
      <c r="C2222">
        <f>IMAGE("https://raw.githubusercontent.com/stautonico/tcg-livingdex/main/images/741/1.png", 2)</f>
        <v>0</v>
      </c>
      <c r="D2222">
        <f>IMAGE("https://raw.githubusercontent.com/stautonico/tcg-livingdex/main/images/741/2.png", 2)</f>
        <v>0</v>
      </c>
      <c r="G2222" t="s">
        <v>9</v>
      </c>
    </row>
    <row r="2223" spans="1:7">
      <c r="C2223" s="4" t="s">
        <v>1659</v>
      </c>
      <c r="D2223" s="4" t="s">
        <v>1660</v>
      </c>
    </row>
    <row r="2225" spans="1:7" ht="264" customHeight="1">
      <c r="A2225" s="2">
        <v>742</v>
      </c>
      <c r="B2225" s="3" t="s">
        <v>1661</v>
      </c>
      <c r="C2225">
        <f>IMAGE("https://raw.githubusercontent.com/stautonico/tcg-livingdex/main/images/742/1.png", 2)</f>
        <v>0</v>
      </c>
      <c r="D2225">
        <f>IMAGE("https://raw.githubusercontent.com/stautonico/tcg-livingdex/main/images/742/2.png", 2)</f>
        <v>0</v>
      </c>
      <c r="G2225" t="s">
        <v>9</v>
      </c>
    </row>
    <row r="2226" spans="1:7">
      <c r="C2226" s="4" t="s">
        <v>1662</v>
      </c>
      <c r="D2226" s="4" t="s">
        <v>1663</v>
      </c>
    </row>
    <row r="2228" spans="1:7" ht="264" customHeight="1">
      <c r="A2228" s="2">
        <v>743</v>
      </c>
      <c r="B2228" s="3" t="s">
        <v>1664</v>
      </c>
      <c r="C2228">
        <f>IMAGE("https://raw.githubusercontent.com/stautonico/tcg-livingdex/main/images/743/1.png", 2)</f>
        <v>0</v>
      </c>
      <c r="D2228">
        <f>IMAGE("https://raw.githubusercontent.com/stautonico/tcg-livingdex/main/images/743/2.png", 2)</f>
        <v>0</v>
      </c>
      <c r="E2228">
        <f>IMAGE("https://raw.githubusercontent.com/stautonico/tcg-livingdex/main/images/743/3.png", 2)</f>
        <v>0</v>
      </c>
      <c r="F2228">
        <f>IMAGE("https://raw.githubusercontent.com/stautonico/tcg-livingdex/main/images/743/4.png", 2)</f>
        <v>0</v>
      </c>
      <c r="G2228" t="s">
        <v>9</v>
      </c>
    </row>
    <row r="2229" spans="1:7">
      <c r="C2229" s="4" t="s">
        <v>1665</v>
      </c>
      <c r="D2229" s="4" t="s">
        <v>1666</v>
      </c>
      <c r="E2229" s="4" t="s">
        <v>1667</v>
      </c>
      <c r="F2229" s="4" t="s">
        <v>1668</v>
      </c>
    </row>
    <row r="2231" spans="1:7" ht="264" customHeight="1">
      <c r="A2231" s="2">
        <v>744</v>
      </c>
      <c r="B2231" s="3" t="s">
        <v>1669</v>
      </c>
      <c r="C2231">
        <f>IMAGE("https://raw.githubusercontent.com/stautonico/tcg-livingdex/main/images/744/1.png", 2)</f>
        <v>0</v>
      </c>
      <c r="D2231">
        <f>IMAGE("https://raw.githubusercontent.com/stautonico/tcg-livingdex/main/images/744/2.png", 2)</f>
        <v>0</v>
      </c>
      <c r="E2231">
        <f>IMAGE("https://raw.githubusercontent.com/stautonico/tcg-livingdex/main/images/744/3.png", 2)</f>
        <v>0</v>
      </c>
      <c r="F2231">
        <f>IMAGE("https://raw.githubusercontent.com/stautonico/tcg-livingdex/main/images/744/4.png", 2)</f>
        <v>0</v>
      </c>
      <c r="G2231" t="s">
        <v>9</v>
      </c>
    </row>
    <row r="2232" spans="1:7">
      <c r="C2232" s="4" t="s">
        <v>1670</v>
      </c>
      <c r="D2232" s="4" t="s">
        <v>1671</v>
      </c>
      <c r="E2232" s="4" t="s">
        <v>1672</v>
      </c>
      <c r="F2232" s="4" t="s">
        <v>1673</v>
      </c>
    </row>
    <row r="2234" spans="1:7" ht="264" customHeight="1">
      <c r="A2234" s="2">
        <v>745</v>
      </c>
      <c r="B2234" s="3" t="s">
        <v>1674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1675</v>
      </c>
    </row>
    <row r="2237" spans="1:7" ht="264" customHeight="1">
      <c r="A2237" s="2">
        <v>746</v>
      </c>
      <c r="B2237" s="3" t="s">
        <v>1676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8</v>
      </c>
    </row>
    <row r="2240" spans="1:7" ht="264" customHeight="1">
      <c r="A2240" s="2">
        <v>747</v>
      </c>
      <c r="B2240" s="3" t="s">
        <v>1677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8</v>
      </c>
    </row>
    <row r="2243" spans="1:7" ht="264" customHeight="1">
      <c r="A2243" s="2">
        <v>748</v>
      </c>
      <c r="B2243" s="3" t="s">
        <v>1678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8</v>
      </c>
    </row>
    <row r="2246" spans="1:7" ht="264" customHeight="1">
      <c r="A2246" s="2">
        <v>749</v>
      </c>
      <c r="B2246" s="3" t="s">
        <v>1679</v>
      </c>
      <c r="C2246">
        <f>IMAGE("https://raw.githubusercontent.com/stautonico/tcg-livingdex/main/images/749/1.png", 2)</f>
        <v>0</v>
      </c>
      <c r="D2246">
        <f>IMAGE("https://raw.githubusercontent.com/stautonico/tcg-livingdex/main/images/749/2.png", 2)</f>
        <v>0</v>
      </c>
      <c r="E2246">
        <f>IMAGE("https://raw.githubusercontent.com/stautonico/tcg-livingdex/main/images/749/3.png", 2)</f>
        <v>0</v>
      </c>
      <c r="F2246">
        <f>IMAGE("https://raw.githubusercontent.com/stautonico/tcg-livingdex/main/images/749/4.png", 2)</f>
        <v>0</v>
      </c>
      <c r="G2246" t="s">
        <v>9</v>
      </c>
    </row>
    <row r="2247" spans="1:7">
      <c r="C2247" s="4" t="s">
        <v>1680</v>
      </c>
      <c r="D2247" s="4" t="s">
        <v>1681</v>
      </c>
      <c r="E2247" s="4" t="s">
        <v>1682</v>
      </c>
      <c r="F2247" s="4" t="s">
        <v>1683</v>
      </c>
    </row>
    <row r="2249" spans="1:7" ht="264" customHeight="1">
      <c r="A2249" s="2">
        <v>750</v>
      </c>
      <c r="B2249" s="3" t="s">
        <v>1684</v>
      </c>
      <c r="C2249">
        <f>IMAGE("https://raw.githubusercontent.com/stautonico/tcg-livingdex/main/images/750/1.png", 2)</f>
        <v>0</v>
      </c>
      <c r="D2249">
        <f>IMAGE("https://raw.githubusercontent.com/stautonico/tcg-livingdex/main/images/750/2.png", 2)</f>
        <v>0</v>
      </c>
      <c r="E2249">
        <f>IMAGE("https://raw.githubusercontent.com/stautonico/tcg-livingdex/main/images/750/3.png", 2)</f>
        <v>0</v>
      </c>
      <c r="F2249">
        <f>IMAGE("https://raw.githubusercontent.com/stautonico/tcg-livingdex/main/images/750/4.png", 2)</f>
        <v>0</v>
      </c>
      <c r="G2249" t="s">
        <v>9</v>
      </c>
    </row>
    <row r="2250" spans="1:7">
      <c r="C2250" s="4" t="s">
        <v>1685</v>
      </c>
      <c r="D2250" s="4" t="s">
        <v>1686</v>
      </c>
      <c r="E2250" s="4" t="s">
        <v>1687</v>
      </c>
      <c r="F2250" s="4" t="s">
        <v>1688</v>
      </c>
    </row>
    <row r="2252" spans="1:7" ht="264" customHeight="1">
      <c r="A2252" s="2">
        <v>751</v>
      </c>
      <c r="B2252" s="3" t="s">
        <v>1689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8</v>
      </c>
    </row>
    <row r="2255" spans="1:7" ht="264" customHeight="1">
      <c r="A2255" s="2">
        <v>752</v>
      </c>
      <c r="B2255" s="3" t="s">
        <v>1690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8</v>
      </c>
    </row>
    <row r="2258" spans="1:7" ht="264" customHeight="1">
      <c r="A2258" s="2">
        <v>753</v>
      </c>
      <c r="B2258" s="3" t="s">
        <v>1691</v>
      </c>
      <c r="C2258">
        <f>IMAGE("https://raw.githubusercontent.com/stautonico/tcg-livingdex/main/images/753/1.png", 2)</f>
        <v>0</v>
      </c>
      <c r="D2258">
        <f>IMAGE("https://raw.githubusercontent.com/stautonico/tcg-livingdex/main/images/753/2.png", 2)</f>
        <v>0</v>
      </c>
      <c r="E2258">
        <f>IMAGE("https://raw.githubusercontent.com/stautonico/tcg-livingdex/main/images/753/3.png", 2)</f>
        <v>0</v>
      </c>
      <c r="G2258" t="s">
        <v>9</v>
      </c>
    </row>
    <row r="2259" spans="1:7">
      <c r="C2259" s="4" t="s">
        <v>1692</v>
      </c>
      <c r="D2259" s="4" t="s">
        <v>1693</v>
      </c>
      <c r="E2259" s="4" t="s">
        <v>1694</v>
      </c>
    </row>
    <row r="2261" spans="1:7" ht="264" customHeight="1">
      <c r="A2261" s="2">
        <v>754</v>
      </c>
      <c r="B2261" s="3" t="s">
        <v>1695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8</v>
      </c>
    </row>
    <row r="2264" spans="1:7" ht="264" customHeight="1">
      <c r="A2264" s="2">
        <v>755</v>
      </c>
      <c r="B2264" s="3" t="s">
        <v>1696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8</v>
      </c>
    </row>
    <row r="2267" spans="1:7" ht="264" customHeight="1">
      <c r="A2267" s="2">
        <v>756</v>
      </c>
      <c r="B2267" s="3" t="s">
        <v>1697</v>
      </c>
      <c r="C2267">
        <f>IMAGE("https://raw.githubusercontent.com/stautonico/tcg-livingdex/main/images/756/1.png", 2)</f>
        <v>0</v>
      </c>
      <c r="D2267">
        <f>IMAGE("https://raw.githubusercontent.com/stautonico/tcg-livingdex/main/images/756/2.png", 2)</f>
        <v>0</v>
      </c>
      <c r="E2267">
        <f>IMAGE("https://raw.githubusercontent.com/stautonico/tcg-livingdex/main/images/756/3.png", 2)</f>
        <v>0</v>
      </c>
      <c r="F2267">
        <f>IMAGE("https://raw.githubusercontent.com/stautonico/tcg-livingdex/main/images/756/4.png", 2)</f>
        <v>0</v>
      </c>
      <c r="G2267" t="s">
        <v>9</v>
      </c>
    </row>
    <row r="2268" spans="1:7">
      <c r="C2268" s="4" t="s">
        <v>1698</v>
      </c>
      <c r="D2268" s="4" t="s">
        <v>1699</v>
      </c>
      <c r="E2268" s="4" t="s">
        <v>1700</v>
      </c>
      <c r="F2268" s="4" t="s">
        <v>1701</v>
      </c>
    </row>
    <row r="2270" spans="1:7" ht="264" customHeight="1">
      <c r="A2270" s="2">
        <v>757</v>
      </c>
      <c r="B2270" s="3" t="s">
        <v>1702</v>
      </c>
      <c r="C2270">
        <f>IMAGE("https://raw.githubusercontent.com/stautonico/tcg-livingdex/main/images/757/1.png", 2)</f>
        <v>0</v>
      </c>
      <c r="D2270">
        <f>IMAGE("https://raw.githubusercontent.com/stautonico/tcg-livingdex/main/images/757/2.png", 2)</f>
        <v>0</v>
      </c>
      <c r="E2270">
        <f>IMAGE("https://raw.githubusercontent.com/stautonico/tcg-livingdex/main/images/757/3.png", 2)</f>
        <v>0</v>
      </c>
      <c r="F2270">
        <f>IMAGE("https://raw.githubusercontent.com/stautonico/tcg-livingdex/main/images/757/4.png", 2)</f>
        <v>0</v>
      </c>
      <c r="G2270" t="s">
        <v>9</v>
      </c>
    </row>
    <row r="2271" spans="1:7">
      <c r="C2271" s="4" t="s">
        <v>1703</v>
      </c>
      <c r="D2271" s="4" t="s">
        <v>1704</v>
      </c>
      <c r="E2271" s="4" t="s">
        <v>1705</v>
      </c>
      <c r="F2271" s="4" t="s">
        <v>1706</v>
      </c>
    </row>
    <row r="2273" spans="1:7" ht="264" customHeight="1">
      <c r="A2273" s="2">
        <v>758</v>
      </c>
      <c r="B2273" s="3" t="s">
        <v>1707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8</v>
      </c>
    </row>
    <row r="2276" spans="1:7" ht="264" customHeight="1">
      <c r="A2276" s="2">
        <v>759</v>
      </c>
      <c r="B2276" s="3" t="s">
        <v>1708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8</v>
      </c>
    </row>
    <row r="2279" spans="1:7" ht="264" customHeight="1">
      <c r="A2279" s="2">
        <v>760</v>
      </c>
      <c r="B2279" s="3" t="s">
        <v>1709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8</v>
      </c>
    </row>
    <row r="2282" spans="1:7" ht="264" customHeight="1">
      <c r="A2282" s="2">
        <v>761</v>
      </c>
      <c r="B2282" s="3" t="s">
        <v>1710</v>
      </c>
      <c r="C2282">
        <f>IMAGE("https://raw.githubusercontent.com/stautonico/tcg-livingdex/main/images/761/1.png", 2)</f>
        <v>0</v>
      </c>
      <c r="D2282">
        <f>IMAGE("https://raw.githubusercontent.com/stautonico/tcg-livingdex/main/images/761/2.png", 2)</f>
        <v>0</v>
      </c>
      <c r="E2282">
        <f>IMAGE("https://raw.githubusercontent.com/stautonico/tcg-livingdex/main/images/761/3.png", 2)</f>
        <v>0</v>
      </c>
      <c r="F2282">
        <f>IMAGE("https://raw.githubusercontent.com/stautonico/tcg-livingdex/main/images/761/4.png", 2)</f>
        <v>0</v>
      </c>
      <c r="G2282" t="s">
        <v>9</v>
      </c>
    </row>
    <row r="2283" spans="1:7">
      <c r="C2283" s="4" t="s">
        <v>1711</v>
      </c>
      <c r="D2283" s="4" t="s">
        <v>1712</v>
      </c>
      <c r="E2283" s="4" t="s">
        <v>1713</v>
      </c>
      <c r="F2283" s="4" t="s">
        <v>1714</v>
      </c>
    </row>
    <row r="2285" spans="1:7" ht="264" customHeight="1">
      <c r="A2285" s="2">
        <v>762</v>
      </c>
      <c r="B2285" s="3" t="s">
        <v>1715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8</v>
      </c>
    </row>
    <row r="2288" spans="1:7" ht="264" customHeight="1">
      <c r="A2288" s="2">
        <v>763</v>
      </c>
      <c r="B2288" s="3" t="s">
        <v>1716</v>
      </c>
      <c r="C2288">
        <f>IMAGE("https://raw.githubusercontent.com/stautonico/tcg-livingdex/main/images/763/1.png", 2)</f>
        <v>0</v>
      </c>
      <c r="D2288">
        <f>IMAGE("https://raw.githubusercontent.com/stautonico/tcg-livingdex/main/images/763/2.png", 2)</f>
        <v>0</v>
      </c>
      <c r="E2288">
        <f>IMAGE("https://raw.githubusercontent.com/stautonico/tcg-livingdex/main/images/763/3.png", 2)</f>
        <v>0</v>
      </c>
      <c r="F2288">
        <f>IMAGE("https://raw.githubusercontent.com/stautonico/tcg-livingdex/main/images/763/4.png", 2)</f>
        <v>0</v>
      </c>
      <c r="G2288" t="s">
        <v>9</v>
      </c>
    </row>
    <row r="2289" spans="1:7">
      <c r="C2289" s="4" t="s">
        <v>1717</v>
      </c>
      <c r="D2289" s="4" t="s">
        <v>1718</v>
      </c>
      <c r="E2289" s="4" t="s">
        <v>1719</v>
      </c>
      <c r="F2289" s="4" t="s">
        <v>1720</v>
      </c>
    </row>
    <row r="2291" spans="1:7" ht="264" customHeight="1">
      <c r="A2291" s="2">
        <v>764</v>
      </c>
      <c r="B2291" s="3" t="s">
        <v>1721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8</v>
      </c>
    </row>
    <row r="2294" spans="1:7" ht="264" customHeight="1">
      <c r="A2294" s="2">
        <v>765</v>
      </c>
      <c r="B2294" s="3" t="s">
        <v>1722</v>
      </c>
      <c r="C2294">
        <f>IMAGE("https://raw.githubusercontent.com/stautonico/tcg-livingdex/main/images/765/1.png", 2)</f>
        <v>0</v>
      </c>
      <c r="D2294">
        <f>IMAGE("https://raw.githubusercontent.com/stautonico/tcg-livingdex/main/images/765/2.png", 2)</f>
        <v>0</v>
      </c>
      <c r="E2294">
        <f>IMAGE("https://raw.githubusercontent.com/stautonico/tcg-livingdex/main/images/765/3.png", 2)</f>
        <v>0</v>
      </c>
      <c r="F2294">
        <f>IMAGE("https://raw.githubusercontent.com/stautonico/tcg-livingdex/main/images/765/4.png", 2)</f>
        <v>0</v>
      </c>
      <c r="G2294" t="s">
        <v>9</v>
      </c>
    </row>
    <row r="2295" spans="1:7">
      <c r="C2295" s="4" t="s">
        <v>1723</v>
      </c>
      <c r="D2295" s="4" t="s">
        <v>1724</v>
      </c>
      <c r="E2295" s="4" t="s">
        <v>1725</v>
      </c>
      <c r="F2295" s="4" t="s">
        <v>1726</v>
      </c>
    </row>
    <row r="2297" spans="1:7" ht="264" customHeight="1">
      <c r="A2297" s="2">
        <v>766</v>
      </c>
      <c r="B2297" s="3" t="s">
        <v>1727</v>
      </c>
      <c r="C2297">
        <f>IMAGE("https://raw.githubusercontent.com/stautonico/tcg-livingdex/main/images/766/1.png", 2)</f>
        <v>0</v>
      </c>
      <c r="D2297">
        <f>IMAGE("https://raw.githubusercontent.com/stautonico/tcg-livingdex/main/images/766/2.png", 2)</f>
        <v>0</v>
      </c>
      <c r="E2297">
        <f>IMAGE("https://raw.githubusercontent.com/stautonico/tcg-livingdex/main/images/766/3.png", 2)</f>
        <v>0</v>
      </c>
      <c r="F2297">
        <f>IMAGE("https://raw.githubusercontent.com/stautonico/tcg-livingdex/main/images/766/4.png", 2)</f>
        <v>0</v>
      </c>
      <c r="G2297" t="s">
        <v>9</v>
      </c>
    </row>
    <row r="2298" spans="1:7">
      <c r="C2298" s="4" t="s">
        <v>1728</v>
      </c>
      <c r="D2298" s="4" t="s">
        <v>1729</v>
      </c>
      <c r="E2298" s="4" t="s">
        <v>1730</v>
      </c>
      <c r="F2298" s="4" t="s">
        <v>1731</v>
      </c>
    </row>
    <row r="2300" spans="1:7" ht="264" customHeight="1">
      <c r="A2300" s="2">
        <v>767</v>
      </c>
      <c r="B2300" s="3" t="s">
        <v>1732</v>
      </c>
      <c r="C2300">
        <f>IMAGE("https://raw.githubusercontent.com/stautonico/tcg-livingdex/main/images/767/1.png", 2)</f>
        <v>0</v>
      </c>
      <c r="D2300">
        <f>IMAGE("https://raw.githubusercontent.com/stautonico/tcg-livingdex/main/images/767/2.png", 2)</f>
        <v>0</v>
      </c>
      <c r="E2300">
        <f>IMAGE("https://raw.githubusercontent.com/stautonico/tcg-livingdex/main/images/767/3.png", 2)</f>
        <v>0</v>
      </c>
      <c r="G2300" t="s">
        <v>9</v>
      </c>
    </row>
    <row r="2301" spans="1:7">
      <c r="C2301" s="4" t="s">
        <v>1733</v>
      </c>
      <c r="D2301" s="4" t="s">
        <v>1734</v>
      </c>
      <c r="E2301" s="4" t="s">
        <v>1735</v>
      </c>
    </row>
    <row r="2303" spans="1:7" ht="264" customHeight="1">
      <c r="A2303" s="2">
        <v>768</v>
      </c>
      <c r="B2303" s="3" t="s">
        <v>1736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8</v>
      </c>
    </row>
    <row r="2306" spans="1:7" ht="264" customHeight="1">
      <c r="A2306" s="2">
        <v>769</v>
      </c>
      <c r="B2306" s="3" t="s">
        <v>1737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8</v>
      </c>
    </row>
    <row r="2309" spans="1:7" ht="264" customHeight="1">
      <c r="A2309" s="2">
        <v>770</v>
      </c>
      <c r="B2309" s="3" t="s">
        <v>1738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8</v>
      </c>
    </row>
    <row r="2312" spans="1:7" ht="264" customHeight="1">
      <c r="A2312" s="2">
        <v>771</v>
      </c>
      <c r="B2312" s="3" t="s">
        <v>1739</v>
      </c>
      <c r="C2312">
        <f>IMAGE("https://raw.githubusercontent.com/stautonico/tcg-livingdex/main/images/771/1.png", 2)</f>
        <v>0</v>
      </c>
      <c r="D2312">
        <f>IMAGE("https://raw.githubusercontent.com/stautonico/tcg-livingdex/main/images/771/2.png", 2)</f>
        <v>0</v>
      </c>
      <c r="E2312">
        <f>IMAGE("https://raw.githubusercontent.com/stautonico/tcg-livingdex/main/images/771/3.png", 2)</f>
        <v>0</v>
      </c>
      <c r="F2312">
        <f>IMAGE("https://raw.githubusercontent.com/stautonico/tcg-livingdex/main/images/771/4.png", 2)</f>
        <v>0</v>
      </c>
      <c r="G2312" t="s">
        <v>9</v>
      </c>
    </row>
    <row r="2313" spans="1:7">
      <c r="C2313" s="4" t="s">
        <v>1740</v>
      </c>
      <c r="D2313" s="4" t="s">
        <v>1741</v>
      </c>
      <c r="E2313" s="4" t="s">
        <v>1742</v>
      </c>
      <c r="F2313" s="4" t="s">
        <v>1743</v>
      </c>
    </row>
    <row r="2315" spans="1:7" ht="264" customHeight="1">
      <c r="A2315" s="2">
        <v>772</v>
      </c>
      <c r="B2315" s="3" t="s">
        <v>1744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8</v>
      </c>
    </row>
    <row r="2318" spans="1:7" ht="264" customHeight="1">
      <c r="A2318" s="2">
        <v>773</v>
      </c>
      <c r="B2318" s="3" t="s">
        <v>1745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8</v>
      </c>
    </row>
    <row r="2321" spans="1:7" ht="264" customHeight="1">
      <c r="A2321" s="2">
        <v>774</v>
      </c>
      <c r="B2321" s="3" t="s">
        <v>1746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8</v>
      </c>
    </row>
    <row r="2324" spans="1:7" ht="264" customHeight="1">
      <c r="A2324" s="2">
        <v>775</v>
      </c>
      <c r="B2324" s="3" t="s">
        <v>1747</v>
      </c>
      <c r="C2324">
        <f>IMAGE("https://raw.githubusercontent.com/stautonico/tcg-livingdex/main/images/775/1.png", 2)</f>
        <v>0</v>
      </c>
      <c r="D2324">
        <f>IMAGE("https://raw.githubusercontent.com/stautonico/tcg-livingdex/main/images/775/2.png", 2)</f>
        <v>0</v>
      </c>
      <c r="E2324">
        <f>IMAGE("https://raw.githubusercontent.com/stautonico/tcg-livingdex/main/images/775/3.png", 2)</f>
        <v>0</v>
      </c>
      <c r="F2324">
        <f>IMAGE("https://raw.githubusercontent.com/stautonico/tcg-livingdex/main/images/775/4.png", 2)</f>
        <v>0</v>
      </c>
      <c r="G2324" t="s">
        <v>9</v>
      </c>
    </row>
    <row r="2325" spans="1:7">
      <c r="C2325" s="4" t="s">
        <v>1748</v>
      </c>
      <c r="D2325" s="4" t="s">
        <v>1749</v>
      </c>
      <c r="E2325" s="4" t="s">
        <v>1750</v>
      </c>
      <c r="F2325" s="4" t="s">
        <v>1751</v>
      </c>
    </row>
    <row r="2327" spans="1:7" ht="264" customHeight="1">
      <c r="A2327" s="2">
        <v>776</v>
      </c>
      <c r="B2327" s="3" t="s">
        <v>1752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8</v>
      </c>
    </row>
    <row r="2330" spans="1:7" ht="264" customHeight="1">
      <c r="A2330" s="2">
        <v>777</v>
      </c>
      <c r="B2330" s="3" t="s">
        <v>1753</v>
      </c>
      <c r="C2330">
        <f>IMAGE("https://raw.githubusercontent.com/stautonico/tcg-livingdex/main/images/777/1.png", 2)</f>
        <v>0</v>
      </c>
      <c r="D2330">
        <f>IMAGE("https://raw.githubusercontent.com/stautonico/tcg-livingdex/main/images/777/2.png", 2)</f>
        <v>0</v>
      </c>
      <c r="E2330">
        <f>IMAGE("https://raw.githubusercontent.com/stautonico/tcg-livingdex/main/images/777/3.png", 2)</f>
        <v>0</v>
      </c>
      <c r="F2330">
        <f>IMAGE("https://raw.githubusercontent.com/stautonico/tcg-livingdex/main/images/777/4.png", 2)</f>
        <v>0</v>
      </c>
      <c r="G2330" t="s">
        <v>9</v>
      </c>
    </row>
    <row r="2331" spans="1:7">
      <c r="C2331" s="4" t="s">
        <v>1754</v>
      </c>
      <c r="D2331" s="4" t="s">
        <v>1282</v>
      </c>
      <c r="E2331" s="4" t="s">
        <v>1755</v>
      </c>
      <c r="F2331" s="4" t="s">
        <v>1756</v>
      </c>
    </row>
    <row r="2333" spans="1:7" ht="264" customHeight="1">
      <c r="A2333" s="2">
        <v>778</v>
      </c>
      <c r="B2333" s="3" t="s">
        <v>1757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8</v>
      </c>
    </row>
    <row r="2336" spans="1:7" ht="264" customHeight="1">
      <c r="A2336" s="2">
        <v>779</v>
      </c>
      <c r="B2336" s="3" t="s">
        <v>1758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8</v>
      </c>
    </row>
    <row r="2339" spans="1:7" ht="264" customHeight="1">
      <c r="A2339" s="2">
        <v>780</v>
      </c>
      <c r="B2339" s="3" t="s">
        <v>1759</v>
      </c>
      <c r="C2339">
        <f>IMAGE("https://raw.githubusercontent.com/stautonico/tcg-livingdex/main/images/780/1.png", 2)</f>
        <v>0</v>
      </c>
      <c r="D2339">
        <f>IMAGE("https://raw.githubusercontent.com/stautonico/tcg-livingdex/main/images/780/2.png", 2)</f>
        <v>0</v>
      </c>
      <c r="E2339">
        <f>IMAGE("https://raw.githubusercontent.com/stautonico/tcg-livingdex/main/images/780/3.png", 2)</f>
        <v>0</v>
      </c>
      <c r="F2339">
        <f>IMAGE("https://raw.githubusercontent.com/stautonico/tcg-livingdex/main/images/780/4.png", 2)</f>
        <v>0</v>
      </c>
      <c r="G2339" t="s">
        <v>9</v>
      </c>
    </row>
    <row r="2340" spans="1:7">
      <c r="C2340" s="4" t="s">
        <v>1760</v>
      </c>
      <c r="D2340" s="4" t="s">
        <v>1761</v>
      </c>
      <c r="E2340" s="4" t="s">
        <v>1762</v>
      </c>
      <c r="F2340" s="4" t="s">
        <v>1763</v>
      </c>
    </row>
    <row r="2342" spans="1:7" ht="264" customHeight="1">
      <c r="A2342" s="2">
        <v>781</v>
      </c>
      <c r="B2342" s="3" t="s">
        <v>1764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8</v>
      </c>
    </row>
    <row r="2345" spans="1:7" ht="264" customHeight="1">
      <c r="A2345" s="2">
        <v>782</v>
      </c>
      <c r="B2345" s="3" t="s">
        <v>1765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8</v>
      </c>
    </row>
    <row r="2348" spans="1:7" ht="264" customHeight="1">
      <c r="A2348" s="2">
        <v>783</v>
      </c>
      <c r="B2348" s="3" t="s">
        <v>1766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8</v>
      </c>
    </row>
    <row r="2351" spans="1:7" ht="264" customHeight="1">
      <c r="A2351" s="2">
        <v>784</v>
      </c>
      <c r="B2351" s="3" t="s">
        <v>1767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8</v>
      </c>
    </row>
    <row r="2354" spans="1:7" ht="264" customHeight="1">
      <c r="A2354" s="2">
        <v>785</v>
      </c>
      <c r="B2354" s="3" t="s">
        <v>1768</v>
      </c>
      <c r="C2354">
        <f>IMAGE("https://raw.githubusercontent.com/stautonico/tcg-livingdex/main/images/785/1.png", 2)</f>
        <v>0</v>
      </c>
      <c r="D2354">
        <f>IMAGE("https://raw.githubusercontent.com/stautonico/tcg-livingdex/main/images/785/2.png", 2)</f>
        <v>0</v>
      </c>
      <c r="E2354">
        <f>IMAGE("https://raw.githubusercontent.com/stautonico/tcg-livingdex/main/images/785/3.png", 2)</f>
        <v>0</v>
      </c>
      <c r="F2354">
        <f>IMAGE("https://raw.githubusercontent.com/stautonico/tcg-livingdex/main/images/785/4.png", 2)</f>
        <v>0</v>
      </c>
      <c r="G2354" t="s">
        <v>9</v>
      </c>
    </row>
    <row r="2355" spans="1:7">
      <c r="C2355" s="4" t="s">
        <v>1769</v>
      </c>
      <c r="D2355" s="4" t="s">
        <v>1770</v>
      </c>
      <c r="E2355" s="4" t="s">
        <v>1771</v>
      </c>
      <c r="F2355" s="4" t="s">
        <v>1772</v>
      </c>
    </row>
    <row r="2357" spans="1:7" ht="264" customHeight="1">
      <c r="A2357" s="2">
        <v>786</v>
      </c>
      <c r="B2357" s="3" t="s">
        <v>1773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8</v>
      </c>
    </row>
    <row r="2360" spans="1:7" ht="264" customHeight="1">
      <c r="A2360" s="2">
        <v>787</v>
      </c>
      <c r="B2360" s="3" t="s">
        <v>1774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8</v>
      </c>
    </row>
    <row r="2363" spans="1:7" ht="264" customHeight="1">
      <c r="A2363" s="2">
        <v>788</v>
      </c>
      <c r="B2363" s="3" t="s">
        <v>1775</v>
      </c>
      <c r="C2363">
        <f>IMAGE("https://raw.githubusercontent.com/stautonico/tcg-livingdex/main/images/788/1.png", 2)</f>
        <v>0</v>
      </c>
      <c r="D2363">
        <f>IMAGE("https://raw.githubusercontent.com/stautonico/tcg-livingdex/main/images/788/2.png", 2)</f>
        <v>0</v>
      </c>
      <c r="E2363">
        <f>IMAGE("https://raw.githubusercontent.com/stautonico/tcg-livingdex/main/images/788/3.png", 2)</f>
        <v>0</v>
      </c>
      <c r="F2363">
        <f>IMAGE("https://raw.githubusercontent.com/stautonico/tcg-livingdex/main/images/788/4.png", 2)</f>
        <v>0</v>
      </c>
      <c r="G2363" t="s">
        <v>9</v>
      </c>
    </row>
    <row r="2364" spans="1:7">
      <c r="C2364" s="4" t="s">
        <v>1776</v>
      </c>
      <c r="D2364" s="4" t="s">
        <v>1777</v>
      </c>
      <c r="E2364" s="4" t="s">
        <v>1778</v>
      </c>
      <c r="F2364" s="4" t="s">
        <v>1779</v>
      </c>
    </row>
    <row r="2366" spans="1:7" ht="264" customHeight="1">
      <c r="A2366" s="2">
        <v>789</v>
      </c>
      <c r="B2366" s="3" t="s">
        <v>1780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8</v>
      </c>
    </row>
    <row r="2369" spans="1:7" ht="264" customHeight="1">
      <c r="A2369" s="2">
        <v>790</v>
      </c>
      <c r="B2369" s="3" t="s">
        <v>1781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8</v>
      </c>
    </row>
    <row r="2372" spans="1:7" ht="264" customHeight="1">
      <c r="A2372" s="2">
        <v>791</v>
      </c>
      <c r="B2372" s="3" t="s">
        <v>1782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8</v>
      </c>
    </row>
    <row r="2375" spans="1:7" ht="264" customHeight="1">
      <c r="A2375" s="2">
        <v>792</v>
      </c>
      <c r="B2375" s="3" t="s">
        <v>1783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8</v>
      </c>
    </row>
    <row r="2378" spans="1:7" ht="264" customHeight="1">
      <c r="A2378" s="2">
        <v>793</v>
      </c>
      <c r="B2378" s="3" t="s">
        <v>1784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8</v>
      </c>
    </row>
    <row r="2381" spans="1:7" ht="264" customHeight="1">
      <c r="A2381" s="2">
        <v>794</v>
      </c>
      <c r="B2381" s="3" t="s">
        <v>1785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8</v>
      </c>
    </row>
    <row r="2384" spans="1:7" ht="264" customHeight="1">
      <c r="A2384" s="2">
        <v>795</v>
      </c>
      <c r="B2384" s="3" t="s">
        <v>1786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8</v>
      </c>
    </row>
    <row r="2387" spans="1:7" ht="264" customHeight="1">
      <c r="A2387" s="2">
        <v>796</v>
      </c>
      <c r="B2387" s="3" t="s">
        <v>1787</v>
      </c>
      <c r="C2387">
        <f>IMAGE("https://raw.githubusercontent.com/stautonico/tcg-livingdex/main/images/796/1.png", 2)</f>
        <v>0</v>
      </c>
      <c r="D2387">
        <f>IMAGE("https://raw.githubusercontent.com/stautonico/tcg-livingdex/main/images/796/2.png", 2)</f>
        <v>0</v>
      </c>
      <c r="E2387">
        <f>IMAGE("https://raw.githubusercontent.com/stautonico/tcg-livingdex/main/images/796/3.png", 2)</f>
        <v>0</v>
      </c>
      <c r="F2387">
        <f>IMAGE("https://raw.githubusercontent.com/stautonico/tcg-livingdex/main/images/796/4.png", 2)</f>
        <v>0</v>
      </c>
      <c r="G2387" t="s">
        <v>9</v>
      </c>
    </row>
    <row r="2388" spans="1:7">
      <c r="C2388" s="4" t="s">
        <v>1788</v>
      </c>
      <c r="D2388" s="4" t="s">
        <v>1789</v>
      </c>
      <c r="E2388" s="4" t="s">
        <v>1790</v>
      </c>
      <c r="F2388" s="4" t="s">
        <v>1791</v>
      </c>
    </row>
    <row r="2390" spans="1:7" ht="264" customHeight="1">
      <c r="A2390" s="2">
        <v>797</v>
      </c>
      <c r="B2390" s="3" t="s">
        <v>1792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8</v>
      </c>
    </row>
    <row r="2393" spans="1:7" ht="264" customHeight="1">
      <c r="A2393" s="2">
        <v>798</v>
      </c>
      <c r="B2393" s="3" t="s">
        <v>1793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8</v>
      </c>
    </row>
    <row r="2396" spans="1:7" ht="264" customHeight="1">
      <c r="A2396" s="2">
        <v>799</v>
      </c>
      <c r="B2396" s="3" t="s">
        <v>1794</v>
      </c>
      <c r="C2396">
        <f>IMAGE("https://raw.githubusercontent.com/stautonico/tcg-livingdex/main/images/799/1.png", 2)</f>
        <v>0</v>
      </c>
      <c r="D2396">
        <f>IMAGE("https://raw.githubusercontent.com/stautonico/tcg-livingdex/main/images/799/2.png", 2)</f>
        <v>0</v>
      </c>
      <c r="E2396">
        <f>IMAGE("https://raw.githubusercontent.com/stautonico/tcg-livingdex/main/images/799/3.png", 2)</f>
        <v>0</v>
      </c>
      <c r="F2396">
        <f>IMAGE("https://raw.githubusercontent.com/stautonico/tcg-livingdex/main/images/799/4.png", 2)</f>
        <v>0</v>
      </c>
      <c r="G2396" t="s">
        <v>9</v>
      </c>
    </row>
    <row r="2397" spans="1:7">
      <c r="C2397" s="4" t="s">
        <v>1795</v>
      </c>
      <c r="D2397" s="4" t="s">
        <v>1796</v>
      </c>
      <c r="E2397" s="4" t="s">
        <v>1797</v>
      </c>
      <c r="F2397" s="4" t="s">
        <v>1798</v>
      </c>
    </row>
    <row r="2399" spans="1:7" ht="264" customHeight="1">
      <c r="A2399" s="2">
        <v>800</v>
      </c>
      <c r="B2399" s="3" t="s">
        <v>1799</v>
      </c>
      <c r="C2399">
        <f>IMAGE("https://raw.githubusercontent.com/stautonico/tcg-livingdex/main/images/800/1.png", 2)</f>
        <v>0</v>
      </c>
      <c r="D2399">
        <f>IMAGE("https://raw.githubusercontent.com/stautonico/tcg-livingdex/main/images/800/2.png", 2)</f>
        <v>0</v>
      </c>
      <c r="E2399">
        <f>IMAGE("https://raw.githubusercontent.com/stautonico/tcg-livingdex/main/images/800/3.png", 2)</f>
        <v>0</v>
      </c>
      <c r="F2399">
        <f>IMAGE("https://raw.githubusercontent.com/stautonico/tcg-livingdex/main/images/800/4.png", 2)</f>
        <v>0</v>
      </c>
      <c r="G2399" t="s">
        <v>9</v>
      </c>
    </row>
    <row r="2400" spans="1:7">
      <c r="C2400" s="4" t="s">
        <v>1800</v>
      </c>
      <c r="D2400" s="4" t="s">
        <v>1801</v>
      </c>
      <c r="E2400" s="4" t="s">
        <v>1802</v>
      </c>
      <c r="F2400" s="4" t="s">
        <v>1803</v>
      </c>
    </row>
    <row r="2402" spans="1:7" ht="264" customHeight="1">
      <c r="A2402" s="2">
        <v>801</v>
      </c>
      <c r="B2402" s="3" t="s">
        <v>1804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8</v>
      </c>
    </row>
    <row r="2405" spans="1:7" ht="264" customHeight="1">
      <c r="A2405" s="2">
        <v>802</v>
      </c>
      <c r="B2405" s="3" t="s">
        <v>1805</v>
      </c>
      <c r="C2405">
        <f>IMAGE("https://raw.githubusercontent.com/stautonico/tcg-livingdex/main/images/802/1.png", 2)</f>
        <v>0</v>
      </c>
      <c r="D2405">
        <f>IMAGE("https://raw.githubusercontent.com/stautonico/tcg-livingdex/main/images/802/2.png", 2)</f>
        <v>0</v>
      </c>
      <c r="E2405">
        <f>IMAGE("https://raw.githubusercontent.com/stautonico/tcg-livingdex/main/images/802/3.png", 2)</f>
        <v>0</v>
      </c>
      <c r="F2405">
        <f>IMAGE("https://raw.githubusercontent.com/stautonico/tcg-livingdex/main/images/802/4.png", 2)</f>
        <v>0</v>
      </c>
      <c r="G2405" t="s">
        <v>9</v>
      </c>
    </row>
    <row r="2406" spans="1:7">
      <c r="C2406" s="4" t="s">
        <v>1806</v>
      </c>
      <c r="D2406" s="4" t="s">
        <v>1807</v>
      </c>
      <c r="E2406" s="4" t="s">
        <v>1808</v>
      </c>
      <c r="F2406" s="4" t="s">
        <v>1809</v>
      </c>
    </row>
    <row r="2408" spans="1:7" ht="264" customHeight="1">
      <c r="A2408" s="2">
        <v>803</v>
      </c>
      <c r="B2408" s="3" t="s">
        <v>1810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8</v>
      </c>
    </row>
    <row r="2411" spans="1:7" ht="264" customHeight="1">
      <c r="A2411" s="2">
        <v>804</v>
      </c>
      <c r="B2411" s="3" t="s">
        <v>1811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8</v>
      </c>
    </row>
    <row r="2414" spans="1:7" ht="264" customHeight="1">
      <c r="A2414" s="2">
        <v>805</v>
      </c>
      <c r="B2414" s="3" t="s">
        <v>1812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8</v>
      </c>
    </row>
    <row r="2417" spans="1:7" ht="264" customHeight="1">
      <c r="A2417" s="2">
        <v>806</v>
      </c>
      <c r="B2417" s="3" t="s">
        <v>1813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8</v>
      </c>
    </row>
    <row r="2420" spans="1:7" ht="264" customHeight="1">
      <c r="A2420" s="2">
        <v>807</v>
      </c>
      <c r="B2420" s="3" t="s">
        <v>1814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8</v>
      </c>
    </row>
    <row r="2423" spans="1:7" ht="264" customHeight="1">
      <c r="A2423" s="2">
        <v>808</v>
      </c>
      <c r="B2423" s="3" t="s">
        <v>1815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8</v>
      </c>
    </row>
    <row r="2426" spans="1:7" ht="264" customHeight="1">
      <c r="A2426" s="2">
        <v>809</v>
      </c>
      <c r="B2426" s="3" t="s">
        <v>1816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8</v>
      </c>
    </row>
    <row r="2429" spans="1:7" ht="264" customHeight="1">
      <c r="A2429" s="2">
        <v>810</v>
      </c>
      <c r="B2429" s="3" t="s">
        <v>1817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8</v>
      </c>
    </row>
    <row r="2432" spans="1:7" ht="264" customHeight="1">
      <c r="A2432" s="2">
        <v>811</v>
      </c>
      <c r="B2432" s="3" t="s">
        <v>1818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8</v>
      </c>
    </row>
    <row r="2435" spans="1:7" ht="264" customHeight="1">
      <c r="A2435" s="2">
        <v>812</v>
      </c>
      <c r="B2435" s="3" t="s">
        <v>1819</v>
      </c>
      <c r="C2435">
        <f>IMAGE("https://raw.githubusercontent.com/stautonico/tcg-livingdex/main/images/812/1.png", 2)</f>
        <v>0</v>
      </c>
      <c r="D2435">
        <f>IMAGE("https://raw.githubusercontent.com/stautonico/tcg-livingdex/main/images/812/2.png", 2)</f>
        <v>0</v>
      </c>
      <c r="E2435">
        <f>IMAGE("https://raw.githubusercontent.com/stautonico/tcg-livingdex/main/images/812/3.png", 2)</f>
        <v>0</v>
      </c>
      <c r="F2435">
        <f>IMAGE("https://raw.githubusercontent.com/stautonico/tcg-livingdex/main/images/812/4.png", 2)</f>
        <v>0</v>
      </c>
      <c r="G2435" t="s">
        <v>9</v>
      </c>
    </row>
    <row r="2436" spans="1:7">
      <c r="C2436" s="4" t="s">
        <v>1820</v>
      </c>
      <c r="D2436" s="4" t="s">
        <v>1821</v>
      </c>
      <c r="E2436" s="4" t="s">
        <v>1822</v>
      </c>
      <c r="F2436" s="4" t="s">
        <v>1823</v>
      </c>
    </row>
    <row r="2438" spans="1:7" ht="264" customHeight="1">
      <c r="A2438" s="2">
        <v>813</v>
      </c>
      <c r="B2438" s="3" t="s">
        <v>1824</v>
      </c>
      <c r="C2438">
        <f>IMAGE("https://raw.githubusercontent.com/stautonico/tcg-livingdex/main/images/813/1.png", 2)</f>
        <v>0</v>
      </c>
      <c r="D2438">
        <f>IMAGE("https://raw.githubusercontent.com/stautonico/tcg-livingdex/main/images/813/2.png", 2)</f>
        <v>0</v>
      </c>
      <c r="E2438">
        <f>IMAGE("https://raw.githubusercontent.com/stautonico/tcg-livingdex/main/images/813/3.png", 2)</f>
        <v>0</v>
      </c>
      <c r="F2438">
        <f>IMAGE("https://raw.githubusercontent.com/stautonico/tcg-livingdex/main/images/813/4.png", 2)</f>
        <v>0</v>
      </c>
      <c r="G2438" t="s">
        <v>9</v>
      </c>
    </row>
    <row r="2439" spans="1:7">
      <c r="C2439" s="4" t="s">
        <v>1825</v>
      </c>
      <c r="D2439" s="4" t="s">
        <v>1826</v>
      </c>
      <c r="E2439" s="4" t="s">
        <v>1827</v>
      </c>
      <c r="F2439" s="4" t="s">
        <v>1828</v>
      </c>
    </row>
    <row r="2441" spans="1:7" ht="264" customHeight="1">
      <c r="A2441" s="2">
        <v>814</v>
      </c>
      <c r="B2441" s="3" t="s">
        <v>1829</v>
      </c>
      <c r="C2441">
        <f>IMAGE("https://raw.githubusercontent.com/stautonico/tcg-livingdex/main/images/814/1.png", 2)</f>
        <v>0</v>
      </c>
      <c r="D2441">
        <f>IMAGE("https://raw.githubusercontent.com/stautonico/tcg-livingdex/main/images/814/2.png", 2)</f>
        <v>0</v>
      </c>
      <c r="E2441">
        <f>IMAGE("https://raw.githubusercontent.com/stautonico/tcg-livingdex/main/images/814/3.png", 2)</f>
        <v>0</v>
      </c>
      <c r="F2441">
        <f>IMAGE("https://raw.githubusercontent.com/stautonico/tcg-livingdex/main/images/814/4.png", 2)</f>
        <v>0</v>
      </c>
      <c r="G2441" t="s">
        <v>9</v>
      </c>
    </row>
    <row r="2442" spans="1:7">
      <c r="C2442" s="4" t="s">
        <v>1830</v>
      </c>
      <c r="D2442" s="4" t="s">
        <v>1831</v>
      </c>
      <c r="E2442" s="4" t="s">
        <v>1832</v>
      </c>
      <c r="F2442" s="4" t="s">
        <v>1833</v>
      </c>
    </row>
    <row r="2444" spans="1:7" ht="264" customHeight="1">
      <c r="A2444" s="2">
        <v>815</v>
      </c>
      <c r="B2444" s="3" t="s">
        <v>1834</v>
      </c>
      <c r="C2444">
        <f>IMAGE("https://raw.githubusercontent.com/stautonico/tcg-livingdex/main/images/815/1.png", 2)</f>
        <v>0</v>
      </c>
      <c r="D2444">
        <f>IMAGE("https://raw.githubusercontent.com/stautonico/tcg-livingdex/main/images/815/2.png", 2)</f>
        <v>0</v>
      </c>
      <c r="E2444">
        <f>IMAGE("https://raw.githubusercontent.com/stautonico/tcg-livingdex/main/images/815/3.png", 2)</f>
        <v>0</v>
      </c>
      <c r="F2444">
        <f>IMAGE("https://raw.githubusercontent.com/stautonico/tcg-livingdex/main/images/815/4.png", 2)</f>
        <v>0</v>
      </c>
      <c r="G2444" t="s">
        <v>9</v>
      </c>
    </row>
    <row r="2445" spans="1:7">
      <c r="C2445" s="4" t="s">
        <v>1835</v>
      </c>
      <c r="D2445" s="4" t="s">
        <v>1836</v>
      </c>
      <c r="E2445" s="4" t="s">
        <v>1837</v>
      </c>
      <c r="F2445" s="4" t="s">
        <v>1838</v>
      </c>
    </row>
    <row r="2447" spans="1:7" ht="264" customHeight="1">
      <c r="A2447" s="2">
        <v>816</v>
      </c>
      <c r="B2447" s="3" t="s">
        <v>1839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8</v>
      </c>
    </row>
    <row r="2450" spans="1:7" ht="264" customHeight="1">
      <c r="A2450" s="2">
        <v>817</v>
      </c>
      <c r="B2450" s="3" t="s">
        <v>1840</v>
      </c>
      <c r="C2450">
        <f>IMAGE("https://raw.githubusercontent.com/stautonico/tcg-livingdex/main/images/817/1.png", 2)</f>
        <v>0</v>
      </c>
      <c r="D2450">
        <f>IMAGE("https://raw.githubusercontent.com/stautonico/tcg-livingdex/main/images/817/2.png", 2)</f>
        <v>0</v>
      </c>
      <c r="E2450">
        <f>IMAGE("https://raw.githubusercontent.com/stautonico/tcg-livingdex/main/images/817/3.png", 2)</f>
        <v>0</v>
      </c>
      <c r="F2450">
        <f>IMAGE("https://raw.githubusercontent.com/stautonico/tcg-livingdex/main/images/817/4.png", 2)</f>
        <v>0</v>
      </c>
      <c r="G2450" t="s">
        <v>9</v>
      </c>
    </row>
    <row r="2451" spans="1:7">
      <c r="C2451" s="4" t="s">
        <v>1841</v>
      </c>
      <c r="D2451" s="4" t="s">
        <v>1842</v>
      </c>
      <c r="E2451" s="4" t="s">
        <v>1843</v>
      </c>
      <c r="F2451" s="4" t="s">
        <v>1844</v>
      </c>
    </row>
    <row r="2453" spans="1:7" ht="264" customHeight="1">
      <c r="A2453" s="2">
        <v>818</v>
      </c>
      <c r="B2453" s="3" t="s">
        <v>1845</v>
      </c>
      <c r="C2453">
        <f>IMAGE("https://raw.githubusercontent.com/stautonico/tcg-livingdex/main/images/818/1.png", 2)</f>
        <v>0</v>
      </c>
      <c r="D2453">
        <f>IMAGE("https://raw.githubusercontent.com/stautonico/tcg-livingdex/main/images/818/2.png", 2)</f>
        <v>0</v>
      </c>
      <c r="E2453">
        <f>IMAGE("https://raw.githubusercontent.com/stautonico/tcg-livingdex/main/images/818/3.png", 2)</f>
        <v>0</v>
      </c>
      <c r="F2453">
        <f>IMAGE("https://raw.githubusercontent.com/stautonico/tcg-livingdex/main/images/818/4.png", 2)</f>
        <v>0</v>
      </c>
      <c r="G2453" t="s">
        <v>9</v>
      </c>
    </row>
    <row r="2454" spans="1:7">
      <c r="C2454" s="4" t="s">
        <v>1846</v>
      </c>
      <c r="D2454" s="4" t="s">
        <v>1847</v>
      </c>
      <c r="E2454" s="4" t="s">
        <v>1848</v>
      </c>
      <c r="F2454" s="4" t="s">
        <v>1849</v>
      </c>
    </row>
    <row r="2456" spans="1:7" ht="264" customHeight="1">
      <c r="A2456" s="2">
        <v>819</v>
      </c>
      <c r="B2456" s="3" t="s">
        <v>1850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8</v>
      </c>
    </row>
    <row r="2459" spans="1:7" ht="264" customHeight="1">
      <c r="A2459" s="2">
        <v>820</v>
      </c>
      <c r="B2459" s="3" t="s">
        <v>1851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8</v>
      </c>
    </row>
    <row r="2462" spans="1:7" ht="264" customHeight="1">
      <c r="A2462" s="2">
        <v>821</v>
      </c>
      <c r="B2462" s="3" t="s">
        <v>1852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8</v>
      </c>
    </row>
    <row r="2465" spans="1:7" ht="264" customHeight="1">
      <c r="A2465" s="2">
        <v>822</v>
      </c>
      <c r="B2465" s="3" t="s">
        <v>1853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8</v>
      </c>
    </row>
    <row r="2468" spans="1:7" ht="264" customHeight="1">
      <c r="A2468" s="2">
        <v>823</v>
      </c>
      <c r="B2468" s="3" t="s">
        <v>1854</v>
      </c>
      <c r="C2468">
        <f>IMAGE("https://raw.githubusercontent.com/stautonico/tcg-livingdex/main/images/823/1.png", 2)</f>
        <v>0</v>
      </c>
      <c r="D2468">
        <f>IMAGE("https://raw.githubusercontent.com/stautonico/tcg-livingdex/main/images/823/2.png", 2)</f>
        <v>0</v>
      </c>
      <c r="E2468">
        <f>IMAGE("https://raw.githubusercontent.com/stautonico/tcg-livingdex/main/images/823/3.png", 2)</f>
        <v>0</v>
      </c>
      <c r="F2468">
        <f>IMAGE("https://raw.githubusercontent.com/stautonico/tcg-livingdex/main/images/823/4.png", 2)</f>
        <v>0</v>
      </c>
      <c r="G2468" t="s">
        <v>9</v>
      </c>
    </row>
    <row r="2469" spans="1:7">
      <c r="C2469" s="4" t="s">
        <v>1855</v>
      </c>
      <c r="D2469" s="4" t="s">
        <v>1856</v>
      </c>
      <c r="E2469" s="4" t="s">
        <v>1857</v>
      </c>
      <c r="F2469" s="4" t="s">
        <v>1858</v>
      </c>
    </row>
    <row r="2471" spans="1:7" ht="264" customHeight="1">
      <c r="A2471" s="2">
        <v>824</v>
      </c>
      <c r="B2471" s="3" t="s">
        <v>1859</v>
      </c>
      <c r="C2471">
        <f>IMAGE("https://raw.githubusercontent.com/stautonico/tcg-livingdex/main/images/824/1.png", 2)</f>
        <v>0</v>
      </c>
      <c r="D2471">
        <f>IMAGE("https://raw.githubusercontent.com/stautonico/tcg-livingdex/main/images/824/2.png", 2)</f>
        <v>0</v>
      </c>
      <c r="E2471">
        <f>IMAGE("https://raw.githubusercontent.com/stautonico/tcg-livingdex/main/images/824/3.png", 2)</f>
        <v>0</v>
      </c>
      <c r="F2471">
        <f>IMAGE("https://raw.githubusercontent.com/stautonico/tcg-livingdex/main/images/824/4.png", 2)</f>
        <v>0</v>
      </c>
      <c r="G2471" t="s">
        <v>9</v>
      </c>
    </row>
    <row r="2472" spans="1:7">
      <c r="C2472" s="4" t="s">
        <v>1860</v>
      </c>
      <c r="D2472" s="4" t="s">
        <v>1861</v>
      </c>
      <c r="E2472" s="4" t="s">
        <v>1862</v>
      </c>
      <c r="F2472" s="4" t="s">
        <v>1863</v>
      </c>
    </row>
    <row r="2474" spans="1:7" ht="264" customHeight="1">
      <c r="A2474" s="2">
        <v>825</v>
      </c>
      <c r="B2474" s="3" t="s">
        <v>1864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8</v>
      </c>
    </row>
    <row r="2477" spans="1:7" ht="264" customHeight="1">
      <c r="A2477" s="2">
        <v>826</v>
      </c>
      <c r="B2477" s="3" t="s">
        <v>1865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8</v>
      </c>
    </row>
    <row r="2480" spans="1:7" ht="264" customHeight="1">
      <c r="A2480" s="2">
        <v>827</v>
      </c>
      <c r="B2480" s="3" t="s">
        <v>1866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8</v>
      </c>
    </row>
    <row r="2483" spans="1:7" ht="264" customHeight="1">
      <c r="A2483" s="2">
        <v>828</v>
      </c>
      <c r="B2483" s="3" t="s">
        <v>1867</v>
      </c>
      <c r="C2483">
        <f>IMAGE("https://raw.githubusercontent.com/stautonico/tcg-livingdex/main/images/828/1.png", 2)</f>
        <v>0</v>
      </c>
      <c r="D2483">
        <f>IMAGE("https://raw.githubusercontent.com/stautonico/tcg-livingdex/main/images/828/2.png", 2)</f>
        <v>0</v>
      </c>
      <c r="E2483">
        <f>IMAGE("https://raw.githubusercontent.com/stautonico/tcg-livingdex/main/images/828/3.png", 2)</f>
        <v>0</v>
      </c>
      <c r="F2483">
        <f>IMAGE("https://raw.githubusercontent.com/stautonico/tcg-livingdex/main/images/828/4.png", 2)</f>
        <v>0</v>
      </c>
      <c r="G2483" t="s">
        <v>9</v>
      </c>
    </row>
    <row r="2484" spans="1:7">
      <c r="C2484" s="4" t="s">
        <v>1868</v>
      </c>
      <c r="D2484" s="4" t="s">
        <v>1869</v>
      </c>
      <c r="E2484" s="4" t="s">
        <v>1870</v>
      </c>
      <c r="F2484" s="4" t="s">
        <v>1871</v>
      </c>
    </row>
    <row r="2486" spans="1:7" ht="264" customHeight="1">
      <c r="A2486" s="2">
        <v>829</v>
      </c>
      <c r="B2486" s="3" t="s">
        <v>1872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8</v>
      </c>
    </row>
    <row r="2489" spans="1:7" ht="264" customHeight="1">
      <c r="A2489" s="2">
        <v>830</v>
      </c>
      <c r="B2489" s="3" t="s">
        <v>1873</v>
      </c>
      <c r="C2489">
        <f>IMAGE("https://raw.githubusercontent.com/stautonico/tcg-livingdex/main/images/830/1.png", 2)</f>
        <v>0</v>
      </c>
      <c r="D2489">
        <f>IMAGE("https://raw.githubusercontent.com/stautonico/tcg-livingdex/main/images/830/2.png", 2)</f>
        <v>0</v>
      </c>
      <c r="E2489">
        <f>IMAGE("https://raw.githubusercontent.com/stautonico/tcg-livingdex/main/images/830/3.png", 2)</f>
        <v>0</v>
      </c>
      <c r="F2489">
        <f>IMAGE("https://raw.githubusercontent.com/stautonico/tcg-livingdex/main/images/830/4.png", 2)</f>
        <v>0</v>
      </c>
      <c r="G2489" t="s">
        <v>9</v>
      </c>
    </row>
    <row r="2490" spans="1:7">
      <c r="C2490" s="4" t="s">
        <v>1874</v>
      </c>
      <c r="D2490" s="4" t="s">
        <v>1875</v>
      </c>
      <c r="E2490" s="4" t="s">
        <v>1876</v>
      </c>
      <c r="F2490" s="4" t="s">
        <v>1877</v>
      </c>
    </row>
    <row r="2492" spans="1:7" ht="264" customHeight="1">
      <c r="A2492" s="2">
        <v>831</v>
      </c>
      <c r="B2492" s="3" t="s">
        <v>1878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8</v>
      </c>
    </row>
    <row r="2495" spans="1:7" ht="264" customHeight="1">
      <c r="A2495" s="2">
        <v>832</v>
      </c>
      <c r="B2495" s="3" t="s">
        <v>1879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8</v>
      </c>
    </row>
    <row r="2498" spans="1:7" ht="264" customHeight="1">
      <c r="A2498" s="2">
        <v>833</v>
      </c>
      <c r="B2498" s="3" t="s">
        <v>1880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8</v>
      </c>
    </row>
    <row r="2501" spans="1:7" ht="264" customHeight="1">
      <c r="A2501" s="2">
        <v>834</v>
      </c>
      <c r="B2501" s="3" t="s">
        <v>1881</v>
      </c>
      <c r="C2501">
        <f>IMAGE("https://raw.githubusercontent.com/stautonico/tcg-livingdex/main/images/834/1.png", 2)</f>
        <v>0</v>
      </c>
      <c r="D2501">
        <f>IMAGE("https://raw.githubusercontent.com/stautonico/tcg-livingdex/main/images/834/2.png", 2)</f>
        <v>0</v>
      </c>
      <c r="E2501">
        <f>IMAGE("https://raw.githubusercontent.com/stautonico/tcg-livingdex/main/images/834/3.png", 2)</f>
        <v>0</v>
      </c>
      <c r="F2501">
        <f>IMAGE("https://raw.githubusercontent.com/stautonico/tcg-livingdex/main/images/834/4.png", 2)</f>
        <v>0</v>
      </c>
      <c r="G2501" t="s">
        <v>9</v>
      </c>
    </row>
    <row r="2502" spans="1:7">
      <c r="C2502" s="4" t="s">
        <v>1882</v>
      </c>
      <c r="D2502" s="4" t="s">
        <v>1883</v>
      </c>
      <c r="E2502" s="4" t="s">
        <v>1884</v>
      </c>
      <c r="F2502" s="4" t="s">
        <v>1885</v>
      </c>
    </row>
    <row r="2504" spans="1:7" ht="264" customHeight="1">
      <c r="A2504" s="2">
        <v>835</v>
      </c>
      <c r="B2504" s="3" t="s">
        <v>1886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8</v>
      </c>
    </row>
    <row r="2507" spans="1:7" ht="264" customHeight="1">
      <c r="A2507" s="2">
        <v>836</v>
      </c>
      <c r="B2507" s="3" t="s">
        <v>1887</v>
      </c>
      <c r="C2507">
        <f>IMAGE("https://raw.githubusercontent.com/stautonico/tcg-livingdex/main/images/836/1.png", 2)</f>
        <v>0</v>
      </c>
      <c r="G2507" t="s">
        <v>9</v>
      </c>
    </row>
    <row r="2508" spans="1:7">
      <c r="C2508" s="4" t="s">
        <v>8</v>
      </c>
    </row>
    <row r="2510" spans="1:7" ht="264" customHeight="1">
      <c r="A2510" s="2">
        <v>837</v>
      </c>
      <c r="B2510" s="3" t="s">
        <v>1888</v>
      </c>
      <c r="C2510">
        <f>IMAGE("https://raw.githubusercontent.com/stautonico/tcg-livingdex/main/images/837/1.png", 2)</f>
        <v>0</v>
      </c>
      <c r="D2510">
        <f>IMAGE("https://raw.githubusercontent.com/stautonico/tcg-livingdex/main/images/837/2.png", 2)</f>
        <v>0</v>
      </c>
      <c r="E2510">
        <f>IMAGE("https://raw.githubusercontent.com/stautonico/tcg-livingdex/main/images/837/3.png", 2)</f>
        <v>0</v>
      </c>
      <c r="F2510">
        <f>IMAGE("https://raw.githubusercontent.com/stautonico/tcg-livingdex/main/images/837/4.png", 2)</f>
        <v>0</v>
      </c>
      <c r="G2510" t="s">
        <v>9</v>
      </c>
    </row>
    <row r="2511" spans="1:7">
      <c r="C2511" s="4" t="s">
        <v>1889</v>
      </c>
      <c r="D2511" s="4" t="s">
        <v>1890</v>
      </c>
      <c r="E2511" s="4" t="s">
        <v>1891</v>
      </c>
      <c r="F2511" s="4" t="s">
        <v>1892</v>
      </c>
    </row>
    <row r="2513" spans="1:7" ht="264" customHeight="1">
      <c r="A2513" s="2">
        <v>838</v>
      </c>
      <c r="B2513" s="3" t="s">
        <v>1893</v>
      </c>
      <c r="C2513">
        <f>IMAGE("https://raw.githubusercontent.com/stautonico/tcg-livingdex/main/images/838/1.png", 2)</f>
        <v>0</v>
      </c>
      <c r="D2513">
        <f>IMAGE("https://raw.githubusercontent.com/stautonico/tcg-livingdex/main/images/838/2.png", 2)</f>
        <v>0</v>
      </c>
      <c r="E2513">
        <f>IMAGE("https://raw.githubusercontent.com/stautonico/tcg-livingdex/main/images/838/3.png", 2)</f>
        <v>0</v>
      </c>
      <c r="F2513">
        <f>IMAGE("https://raw.githubusercontent.com/stautonico/tcg-livingdex/main/images/838/4.png", 2)</f>
        <v>0</v>
      </c>
      <c r="G2513" t="s">
        <v>9</v>
      </c>
    </row>
    <row r="2514" spans="1:7">
      <c r="C2514" s="4" t="s">
        <v>1894</v>
      </c>
      <c r="D2514" s="4" t="s">
        <v>1895</v>
      </c>
      <c r="E2514" s="4" t="s">
        <v>1896</v>
      </c>
      <c r="F2514" s="4" t="s">
        <v>1897</v>
      </c>
    </row>
    <row r="2516" spans="1:7" ht="264" customHeight="1">
      <c r="A2516" s="2">
        <v>839</v>
      </c>
      <c r="B2516" s="3" t="s">
        <v>1898</v>
      </c>
      <c r="C2516">
        <f>IMAGE("https://raw.githubusercontent.com/stautonico/tcg-livingdex/main/images/839/1.png", 2)</f>
        <v>0</v>
      </c>
      <c r="D2516">
        <f>IMAGE("https://raw.githubusercontent.com/stautonico/tcg-livingdex/main/images/839/2.png", 2)</f>
        <v>0</v>
      </c>
      <c r="E2516">
        <f>IMAGE("https://raw.githubusercontent.com/stautonico/tcg-livingdex/main/images/839/3.png", 2)</f>
        <v>0</v>
      </c>
      <c r="F2516">
        <f>IMAGE("https://raw.githubusercontent.com/stautonico/tcg-livingdex/main/images/839/4.png", 2)</f>
        <v>0</v>
      </c>
      <c r="G2516" t="s">
        <v>9</v>
      </c>
    </row>
    <row r="2517" spans="1:7">
      <c r="C2517" s="4" t="s">
        <v>1899</v>
      </c>
      <c r="D2517" s="4" t="s">
        <v>1900</v>
      </c>
      <c r="E2517" s="4" t="s">
        <v>1901</v>
      </c>
      <c r="F2517" s="4" t="s">
        <v>1902</v>
      </c>
    </row>
    <row r="2519" spans="1:7" ht="264" customHeight="1">
      <c r="A2519" s="2">
        <v>840</v>
      </c>
      <c r="B2519" s="3" t="s">
        <v>1903</v>
      </c>
      <c r="C2519">
        <f>IMAGE("https://raw.githubusercontent.com/stautonico/tcg-livingdex/main/images/840/1.png", 2)</f>
        <v>0</v>
      </c>
      <c r="D2519">
        <f>IMAGE("https://raw.githubusercontent.com/stautonico/tcg-livingdex/main/images/840/2.png", 2)</f>
        <v>0</v>
      </c>
      <c r="E2519">
        <f>IMAGE("https://raw.githubusercontent.com/stautonico/tcg-livingdex/main/images/840/3.png", 2)</f>
        <v>0</v>
      </c>
      <c r="F2519">
        <f>IMAGE("https://raw.githubusercontent.com/stautonico/tcg-livingdex/main/images/840/4.png", 2)</f>
        <v>0</v>
      </c>
      <c r="G2519" t="s">
        <v>9</v>
      </c>
    </row>
    <row r="2520" spans="1:7">
      <c r="C2520" s="4" t="s">
        <v>1904</v>
      </c>
      <c r="D2520" s="4" t="s">
        <v>1905</v>
      </c>
      <c r="E2520" s="4" t="s">
        <v>1906</v>
      </c>
      <c r="F2520" s="4" t="s">
        <v>1907</v>
      </c>
    </row>
    <row r="2522" spans="1:7" ht="264" customHeight="1">
      <c r="A2522" s="2">
        <v>841</v>
      </c>
      <c r="B2522" s="3" t="s">
        <v>1908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8</v>
      </c>
    </row>
    <row r="2525" spans="1:7" ht="264" customHeight="1">
      <c r="A2525" s="2">
        <v>842</v>
      </c>
      <c r="B2525" s="3" t="s">
        <v>1909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8</v>
      </c>
    </row>
    <row r="2528" spans="1:7" ht="264" customHeight="1">
      <c r="A2528" s="2">
        <v>843</v>
      </c>
      <c r="B2528" s="3" t="s">
        <v>1910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8</v>
      </c>
    </row>
    <row r="2531" spans="1:7" ht="264" customHeight="1">
      <c r="A2531" s="2">
        <v>844</v>
      </c>
      <c r="B2531" s="3" t="s">
        <v>1911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8</v>
      </c>
    </row>
    <row r="2534" spans="1:7" ht="264" customHeight="1">
      <c r="A2534" s="2">
        <v>845</v>
      </c>
      <c r="B2534" s="3" t="s">
        <v>1912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8</v>
      </c>
    </row>
    <row r="2537" spans="1:7" ht="264" customHeight="1">
      <c r="A2537" s="2">
        <v>846</v>
      </c>
      <c r="B2537" s="3" t="s">
        <v>1913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8</v>
      </c>
    </row>
    <row r="2540" spans="1:7" ht="264" customHeight="1">
      <c r="A2540" s="2">
        <v>847</v>
      </c>
      <c r="B2540" s="3" t="s">
        <v>1914</v>
      </c>
      <c r="C2540">
        <f>IMAGE("https://raw.githubusercontent.com/stautonico/tcg-livingdex/main/images/847/1.png", 2)</f>
        <v>0</v>
      </c>
      <c r="D2540">
        <f>IMAGE("https://raw.githubusercontent.com/stautonico/tcg-livingdex/main/images/847/2.png", 2)</f>
        <v>0</v>
      </c>
      <c r="E2540">
        <f>IMAGE("https://raw.githubusercontent.com/stautonico/tcg-livingdex/main/images/847/3.png", 2)</f>
        <v>0</v>
      </c>
      <c r="F2540">
        <f>IMAGE("https://raw.githubusercontent.com/stautonico/tcg-livingdex/main/images/847/4.png", 2)</f>
        <v>0</v>
      </c>
      <c r="G2540" t="s">
        <v>9</v>
      </c>
    </row>
    <row r="2541" spans="1:7">
      <c r="C2541" s="4" t="s">
        <v>1915</v>
      </c>
      <c r="D2541" s="4" t="s">
        <v>1916</v>
      </c>
      <c r="E2541" s="4" t="s">
        <v>1917</v>
      </c>
      <c r="F2541" s="4" t="s">
        <v>1918</v>
      </c>
    </row>
    <row r="2543" spans="1:7" ht="264" customHeight="1">
      <c r="A2543" s="2">
        <v>848</v>
      </c>
      <c r="B2543" s="3" t="s">
        <v>1919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8</v>
      </c>
    </row>
    <row r="2546" spans="1:7" ht="264" customHeight="1">
      <c r="A2546" s="2">
        <v>849</v>
      </c>
      <c r="B2546" s="3" t="s">
        <v>1920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8</v>
      </c>
    </row>
    <row r="2549" spans="1:7" ht="264" customHeight="1">
      <c r="A2549" s="2">
        <v>850</v>
      </c>
      <c r="B2549" s="3" t="s">
        <v>1921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8</v>
      </c>
    </row>
    <row r="2552" spans="1:7" ht="264" customHeight="1">
      <c r="A2552" s="2">
        <v>851</v>
      </c>
      <c r="B2552" s="3" t="s">
        <v>1922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8</v>
      </c>
    </row>
    <row r="2555" spans="1:7" ht="264" customHeight="1">
      <c r="A2555" s="2">
        <v>852</v>
      </c>
      <c r="B2555" s="3" t="s">
        <v>1923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8</v>
      </c>
    </row>
    <row r="2558" spans="1:7" ht="264" customHeight="1">
      <c r="A2558" s="2">
        <v>853</v>
      </c>
      <c r="B2558" s="3" t="s">
        <v>1924</v>
      </c>
      <c r="C2558">
        <f>IMAGE("https://raw.githubusercontent.com/stautonico/tcg-livingdex/main/images/853/1.png", 2)</f>
        <v>0</v>
      </c>
      <c r="D2558">
        <f>IMAGE("https://raw.githubusercontent.com/stautonico/tcg-livingdex/main/images/853/2.png", 2)</f>
        <v>0</v>
      </c>
      <c r="E2558">
        <f>IMAGE("https://raw.githubusercontent.com/stautonico/tcg-livingdex/main/images/853/3.png", 2)</f>
        <v>0</v>
      </c>
      <c r="F2558">
        <f>IMAGE("https://raw.githubusercontent.com/stautonico/tcg-livingdex/main/images/853/4.png", 2)</f>
        <v>0</v>
      </c>
      <c r="G2558" t="s">
        <v>9</v>
      </c>
    </row>
    <row r="2559" spans="1:7">
      <c r="C2559" s="4" t="s">
        <v>1925</v>
      </c>
      <c r="D2559" s="4" t="s">
        <v>1926</v>
      </c>
      <c r="E2559" s="4" t="s">
        <v>1927</v>
      </c>
      <c r="F2559" s="4" t="s">
        <v>1928</v>
      </c>
    </row>
    <row r="2561" spans="1:7" ht="264" customHeight="1">
      <c r="A2561" s="2">
        <v>854</v>
      </c>
      <c r="B2561" s="3" t="s">
        <v>1929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8</v>
      </c>
    </row>
    <row r="2564" spans="1:7" ht="264" customHeight="1">
      <c r="A2564" s="2">
        <v>855</v>
      </c>
      <c r="B2564" s="3" t="s">
        <v>1930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8</v>
      </c>
    </row>
    <row r="2567" spans="1:7" ht="264" customHeight="1">
      <c r="A2567" s="2">
        <v>856</v>
      </c>
      <c r="B2567" s="3" t="s">
        <v>1931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8</v>
      </c>
    </row>
    <row r="2570" spans="1:7" ht="264" customHeight="1">
      <c r="A2570" s="2">
        <v>857</v>
      </c>
      <c r="B2570" s="3" t="s">
        <v>1932</v>
      </c>
      <c r="C2570">
        <f>IMAGE("https://raw.githubusercontent.com/stautonico/tcg-livingdex/main/images/857/1.png", 2)</f>
        <v>0</v>
      </c>
      <c r="D2570">
        <f>IMAGE("https://raw.githubusercontent.com/stautonico/tcg-livingdex/main/images/857/2.png", 2)</f>
        <v>0</v>
      </c>
      <c r="E2570">
        <f>IMAGE("https://raw.githubusercontent.com/stautonico/tcg-livingdex/main/images/857/3.png", 2)</f>
        <v>0</v>
      </c>
      <c r="F2570">
        <f>IMAGE("https://raw.githubusercontent.com/stautonico/tcg-livingdex/main/images/857/4.png", 2)</f>
        <v>0</v>
      </c>
      <c r="G2570" t="s">
        <v>9</v>
      </c>
    </row>
    <row r="2571" spans="1:7">
      <c r="C2571" s="4" t="s">
        <v>1933</v>
      </c>
      <c r="D2571" s="4" t="s">
        <v>1934</v>
      </c>
      <c r="E2571" s="4" t="s">
        <v>1935</v>
      </c>
      <c r="F2571" s="4" t="s">
        <v>1936</v>
      </c>
    </row>
    <row r="2573" spans="1:7" ht="264" customHeight="1">
      <c r="A2573" s="2">
        <v>858</v>
      </c>
      <c r="B2573" s="3" t="s">
        <v>1937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8</v>
      </c>
    </row>
    <row r="2576" spans="1:7" ht="264" customHeight="1">
      <c r="A2576" s="2">
        <v>859</v>
      </c>
      <c r="B2576" s="3" t="s">
        <v>1938</v>
      </c>
      <c r="C2576">
        <f>IMAGE("https://raw.githubusercontent.com/stautonico/tcg-livingdex/main/images/859/1.png", 2)</f>
        <v>0</v>
      </c>
      <c r="D2576">
        <f>IMAGE("https://raw.githubusercontent.com/stautonico/tcg-livingdex/main/images/859/2.png", 2)</f>
        <v>0</v>
      </c>
      <c r="E2576">
        <f>IMAGE("https://raw.githubusercontent.com/stautonico/tcg-livingdex/main/images/859/3.png", 2)</f>
        <v>0</v>
      </c>
      <c r="F2576">
        <f>IMAGE("https://raw.githubusercontent.com/stautonico/tcg-livingdex/main/images/859/4.png", 2)</f>
        <v>0</v>
      </c>
      <c r="G2576" t="s">
        <v>9</v>
      </c>
    </row>
    <row r="2577" spans="1:7">
      <c r="C2577" s="4" t="s">
        <v>1939</v>
      </c>
      <c r="D2577" s="4" t="s">
        <v>1940</v>
      </c>
      <c r="E2577" s="4" t="s">
        <v>1941</v>
      </c>
      <c r="F2577" s="4" t="s">
        <v>1942</v>
      </c>
    </row>
    <row r="2579" spans="1:7" ht="264" customHeight="1">
      <c r="A2579" s="2">
        <v>860</v>
      </c>
      <c r="B2579" s="3" t="s">
        <v>1943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8</v>
      </c>
    </row>
    <row r="2582" spans="1:7" ht="264" customHeight="1">
      <c r="A2582" s="2">
        <v>861</v>
      </c>
      <c r="B2582" s="3" t="s">
        <v>1944</v>
      </c>
      <c r="C2582">
        <f>IMAGE("https://raw.githubusercontent.com/stautonico/tcg-livingdex/main/images/861/1.png", 2)</f>
        <v>0</v>
      </c>
      <c r="D2582">
        <f>IMAGE("https://raw.githubusercontent.com/stautonico/tcg-livingdex/main/images/861/2.png", 2)</f>
        <v>0</v>
      </c>
      <c r="E2582">
        <f>IMAGE("https://raw.githubusercontent.com/stautonico/tcg-livingdex/main/images/861/3.png", 2)</f>
        <v>0</v>
      </c>
      <c r="F2582">
        <f>IMAGE("https://raw.githubusercontent.com/stautonico/tcg-livingdex/main/images/861/4.png", 2)</f>
        <v>0</v>
      </c>
      <c r="G2582" t="s">
        <v>9</v>
      </c>
    </row>
    <row r="2583" spans="1:7">
      <c r="C2583" s="4" t="s">
        <v>1945</v>
      </c>
      <c r="D2583" s="4" t="s">
        <v>1946</v>
      </c>
      <c r="E2583" s="4" t="s">
        <v>1947</v>
      </c>
      <c r="F2583" s="4" t="s">
        <v>1948</v>
      </c>
    </row>
    <row r="2585" spans="1:7" ht="264" customHeight="1">
      <c r="A2585" s="2">
        <v>862</v>
      </c>
      <c r="B2585" s="3" t="s">
        <v>1949</v>
      </c>
      <c r="C2585">
        <f>IMAGE("https://raw.githubusercontent.com/stautonico/tcg-livingdex/main/images/862/1.png", 2)</f>
        <v>0</v>
      </c>
      <c r="D2585">
        <f>IMAGE("https://raw.githubusercontent.com/stautonico/tcg-livingdex/main/images/862/2.png", 2)</f>
        <v>0</v>
      </c>
      <c r="E2585">
        <f>IMAGE("https://raw.githubusercontent.com/stautonico/tcg-livingdex/main/images/862/3.png", 2)</f>
        <v>0</v>
      </c>
      <c r="G2585" t="s">
        <v>9</v>
      </c>
    </row>
    <row r="2586" spans="1:7">
      <c r="C2586" s="4" t="s">
        <v>1950</v>
      </c>
      <c r="D2586" s="4" t="s">
        <v>1951</v>
      </c>
      <c r="E2586" s="4" t="s">
        <v>1952</v>
      </c>
    </row>
    <row r="2588" spans="1:7" ht="264" customHeight="1">
      <c r="A2588" s="2">
        <v>863</v>
      </c>
      <c r="B2588" s="3" t="s">
        <v>1953</v>
      </c>
      <c r="C2588">
        <f>IMAGE("https://raw.githubusercontent.com/stautonico/tcg-livingdex/main/images/863/1.png", 2)</f>
        <v>0</v>
      </c>
      <c r="D2588">
        <f>IMAGE("https://raw.githubusercontent.com/stautonico/tcg-livingdex/main/images/863/2.png", 2)</f>
        <v>0</v>
      </c>
      <c r="E2588">
        <f>IMAGE("https://raw.githubusercontent.com/stautonico/tcg-livingdex/main/images/863/3.png", 2)</f>
        <v>0</v>
      </c>
      <c r="F2588">
        <f>IMAGE("https://raw.githubusercontent.com/stautonico/tcg-livingdex/main/images/863/4.png", 2)</f>
        <v>0</v>
      </c>
      <c r="G2588" t="s">
        <v>9</v>
      </c>
    </row>
    <row r="2589" spans="1:7">
      <c r="C2589" s="4" t="s">
        <v>1954</v>
      </c>
      <c r="D2589" s="4" t="s">
        <v>1955</v>
      </c>
      <c r="E2589" s="4" t="s">
        <v>1956</v>
      </c>
      <c r="F2589" s="4" t="s">
        <v>1957</v>
      </c>
    </row>
    <row r="2591" spans="1:7" ht="264" customHeight="1">
      <c r="A2591" s="2">
        <v>864</v>
      </c>
      <c r="B2591" s="3" t="s">
        <v>1958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8</v>
      </c>
    </row>
    <row r="2594" spans="1:7" ht="264" customHeight="1">
      <c r="A2594" s="2">
        <v>865</v>
      </c>
      <c r="B2594" s="3" t="s">
        <v>1959</v>
      </c>
      <c r="C2594">
        <f>IMAGE("https://raw.githubusercontent.com/stautonico/tcg-livingdex/main/images/865/1.png", 2)</f>
        <v>0</v>
      </c>
      <c r="D2594">
        <f>IMAGE("https://raw.githubusercontent.com/stautonico/tcg-livingdex/main/images/865/2.png", 2)</f>
        <v>0</v>
      </c>
      <c r="E2594">
        <f>IMAGE("https://raw.githubusercontent.com/stautonico/tcg-livingdex/main/images/865/3.png", 2)</f>
        <v>0</v>
      </c>
      <c r="F2594">
        <f>IMAGE("https://raw.githubusercontent.com/stautonico/tcg-livingdex/main/images/865/4.png", 2)</f>
        <v>0</v>
      </c>
      <c r="G2594" t="s">
        <v>9</v>
      </c>
    </row>
    <row r="2595" spans="1:7">
      <c r="C2595" s="4" t="s">
        <v>1960</v>
      </c>
      <c r="D2595" s="4" t="s">
        <v>1961</v>
      </c>
      <c r="E2595" s="4" t="s">
        <v>1962</v>
      </c>
      <c r="F2595" s="4" t="s">
        <v>1963</v>
      </c>
    </row>
    <row r="2597" spans="1:7" ht="264" customHeight="1">
      <c r="A2597" s="2">
        <v>866</v>
      </c>
      <c r="B2597" s="3" t="s">
        <v>1964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8</v>
      </c>
    </row>
    <row r="2600" spans="1:7" ht="264" customHeight="1">
      <c r="A2600" s="2">
        <v>867</v>
      </c>
      <c r="B2600" s="3" t="s">
        <v>1965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8</v>
      </c>
    </row>
    <row r="2603" spans="1:7" ht="264" customHeight="1">
      <c r="A2603" s="2">
        <v>868</v>
      </c>
      <c r="B2603" s="3" t="s">
        <v>1966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8</v>
      </c>
    </row>
    <row r="2606" spans="1:7" ht="264" customHeight="1">
      <c r="A2606" s="2">
        <v>869</v>
      </c>
      <c r="B2606" s="3" t="s">
        <v>1967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8</v>
      </c>
    </row>
    <row r="2609" spans="1:7" ht="264" customHeight="1">
      <c r="A2609" s="2">
        <v>870</v>
      </c>
      <c r="B2609" s="3" t="s">
        <v>1968</v>
      </c>
      <c r="C2609">
        <f>IMAGE("https://raw.githubusercontent.com/stautonico/tcg-livingdex/main/images/870/1.png", 2)</f>
        <v>0</v>
      </c>
      <c r="D2609">
        <f>IMAGE("https://raw.githubusercontent.com/stautonico/tcg-livingdex/main/images/870/2.png", 2)</f>
        <v>0</v>
      </c>
      <c r="E2609">
        <f>IMAGE("https://raw.githubusercontent.com/stautonico/tcg-livingdex/main/images/870/3.png", 2)</f>
        <v>0</v>
      </c>
      <c r="F2609">
        <f>IMAGE("https://raw.githubusercontent.com/stautonico/tcg-livingdex/main/images/870/4.png", 2)</f>
        <v>0</v>
      </c>
      <c r="G2609" t="s">
        <v>9</v>
      </c>
    </row>
    <row r="2610" spans="1:7">
      <c r="C2610" s="4" t="s">
        <v>1969</v>
      </c>
      <c r="D2610" s="4" t="s">
        <v>1970</v>
      </c>
      <c r="E2610" s="4" t="s">
        <v>1971</v>
      </c>
      <c r="F2610" s="4" t="s">
        <v>1972</v>
      </c>
    </row>
    <row r="2612" spans="1:7" ht="264" customHeight="1">
      <c r="A2612" s="2">
        <v>871</v>
      </c>
      <c r="B2612" s="3" t="s">
        <v>1973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8</v>
      </c>
    </row>
    <row r="2615" spans="1:7" ht="264" customHeight="1">
      <c r="A2615" s="2">
        <v>872</v>
      </c>
      <c r="B2615" s="3" t="s">
        <v>1974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8</v>
      </c>
    </row>
    <row r="2618" spans="1:7" ht="264" customHeight="1">
      <c r="A2618" s="2">
        <v>873</v>
      </c>
      <c r="B2618" s="3" t="s">
        <v>1975</v>
      </c>
      <c r="C2618">
        <f>IMAGE("https://raw.githubusercontent.com/stautonico/tcg-livingdex/main/images/873/1.png", 2)</f>
        <v>0</v>
      </c>
      <c r="D2618">
        <f>IMAGE("https://raw.githubusercontent.com/stautonico/tcg-livingdex/main/images/873/2.png", 2)</f>
        <v>0</v>
      </c>
      <c r="E2618">
        <f>IMAGE("https://raw.githubusercontent.com/stautonico/tcg-livingdex/main/images/873/3.png", 2)</f>
        <v>0</v>
      </c>
      <c r="F2618">
        <f>IMAGE("https://raw.githubusercontent.com/stautonico/tcg-livingdex/main/images/873/4.png", 2)</f>
        <v>0</v>
      </c>
      <c r="G2618" t="s">
        <v>9</v>
      </c>
    </row>
    <row r="2619" spans="1:7">
      <c r="C2619" s="4" t="s">
        <v>1976</v>
      </c>
      <c r="D2619" s="4" t="s">
        <v>1977</v>
      </c>
      <c r="E2619" s="4" t="s">
        <v>1978</v>
      </c>
      <c r="F2619" s="4" t="s">
        <v>1979</v>
      </c>
    </row>
    <row r="2621" spans="1:7" ht="264" customHeight="1">
      <c r="A2621" s="2">
        <v>874</v>
      </c>
      <c r="B2621" s="3" t="s">
        <v>1980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8</v>
      </c>
    </row>
    <row r="2624" spans="1:7" ht="264" customHeight="1">
      <c r="A2624" s="2">
        <v>875</v>
      </c>
      <c r="B2624" s="3" t="s">
        <v>1981</v>
      </c>
      <c r="C2624">
        <f>IMAGE("https://raw.githubusercontent.com/stautonico/tcg-livingdex/main/images/875/1.png", 2)</f>
        <v>0</v>
      </c>
      <c r="D2624">
        <f>IMAGE("https://raw.githubusercontent.com/stautonico/tcg-livingdex/main/images/875/2.png", 2)</f>
        <v>0</v>
      </c>
      <c r="E2624">
        <f>IMAGE("https://raw.githubusercontent.com/stautonico/tcg-livingdex/main/images/875/3.png", 2)</f>
        <v>0</v>
      </c>
      <c r="F2624">
        <f>IMAGE("https://raw.githubusercontent.com/stautonico/tcg-livingdex/main/images/875/4.png", 2)</f>
        <v>0</v>
      </c>
      <c r="G2624" t="s">
        <v>9</v>
      </c>
    </row>
    <row r="2625" spans="1:7">
      <c r="C2625" s="4" t="s">
        <v>1982</v>
      </c>
      <c r="D2625" s="4" t="s">
        <v>1983</v>
      </c>
      <c r="E2625" s="4" t="s">
        <v>1984</v>
      </c>
      <c r="F2625" s="4" t="s">
        <v>1985</v>
      </c>
    </row>
    <row r="2627" spans="1:7" ht="264" customHeight="1">
      <c r="A2627" s="2">
        <v>876</v>
      </c>
      <c r="B2627" s="3" t="s">
        <v>1986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8</v>
      </c>
    </row>
    <row r="2630" spans="1:7" ht="264" customHeight="1">
      <c r="A2630" s="2">
        <v>877</v>
      </c>
      <c r="B2630" s="3" t="s">
        <v>1987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8</v>
      </c>
    </row>
    <row r="2633" spans="1:7" ht="264" customHeight="1">
      <c r="A2633" s="2">
        <v>878</v>
      </c>
      <c r="B2633" s="3" t="s">
        <v>1988</v>
      </c>
      <c r="C2633">
        <f>IMAGE("https://raw.githubusercontent.com/stautonico/tcg-livingdex/main/images/878/1.png", 2)</f>
        <v>0</v>
      </c>
      <c r="D2633">
        <f>IMAGE("https://raw.githubusercontent.com/stautonico/tcg-livingdex/main/images/878/2.png", 2)</f>
        <v>0</v>
      </c>
      <c r="E2633">
        <f>IMAGE("https://raw.githubusercontent.com/stautonico/tcg-livingdex/main/images/878/3.png", 2)</f>
        <v>0</v>
      </c>
      <c r="F2633">
        <f>IMAGE("https://raw.githubusercontent.com/stautonico/tcg-livingdex/main/images/878/4.png", 2)</f>
        <v>0</v>
      </c>
      <c r="G2633" t="s">
        <v>9</v>
      </c>
    </row>
    <row r="2634" spans="1:7">
      <c r="C2634" s="4" t="s">
        <v>1989</v>
      </c>
      <c r="D2634" s="4" t="s">
        <v>1990</v>
      </c>
      <c r="E2634" s="4" t="s">
        <v>1991</v>
      </c>
      <c r="F2634" s="4" t="s">
        <v>1992</v>
      </c>
    </row>
    <row r="2636" spans="1:7" ht="264" customHeight="1">
      <c r="A2636" s="2">
        <v>879</v>
      </c>
      <c r="B2636" s="3" t="s">
        <v>1993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8</v>
      </c>
    </row>
    <row r="2639" spans="1:7" ht="264" customHeight="1">
      <c r="A2639" s="2">
        <v>880</v>
      </c>
      <c r="B2639" s="3" t="s">
        <v>1994</v>
      </c>
      <c r="C2639">
        <f>IMAGE("https://raw.githubusercontent.com/stautonico/tcg-livingdex/main/images/880/1.png", 2)</f>
        <v>0</v>
      </c>
      <c r="D2639">
        <f>IMAGE("https://raw.githubusercontent.com/stautonico/tcg-livingdex/main/images/880/2.png", 2)</f>
        <v>0</v>
      </c>
      <c r="E2639">
        <f>IMAGE("https://raw.githubusercontent.com/stautonico/tcg-livingdex/main/images/880/3.png", 2)</f>
        <v>0</v>
      </c>
      <c r="F2639">
        <f>IMAGE("https://raw.githubusercontent.com/stautonico/tcg-livingdex/main/images/880/4.png", 2)</f>
        <v>0</v>
      </c>
      <c r="G2639" t="s">
        <v>9</v>
      </c>
    </row>
    <row r="2640" spans="1:7">
      <c r="C2640" s="4" t="s">
        <v>1995</v>
      </c>
      <c r="D2640" s="4" t="s">
        <v>1996</v>
      </c>
      <c r="E2640" s="4" t="s">
        <v>1997</v>
      </c>
      <c r="F2640" s="4" t="s">
        <v>1998</v>
      </c>
    </row>
    <row r="2642" spans="1:7" ht="264" customHeight="1">
      <c r="A2642" s="2">
        <v>881</v>
      </c>
      <c r="B2642" s="3" t="s">
        <v>1999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8</v>
      </c>
    </row>
    <row r="2645" spans="1:7" ht="264" customHeight="1">
      <c r="A2645" s="2">
        <v>882</v>
      </c>
      <c r="B2645" s="3" t="s">
        <v>2000</v>
      </c>
      <c r="C2645">
        <f>IMAGE("https://raw.githubusercontent.com/stautonico/tcg-livingdex/main/images/882/1.png", 2)</f>
        <v>0</v>
      </c>
      <c r="D2645">
        <f>IMAGE("https://raw.githubusercontent.com/stautonico/tcg-livingdex/main/images/882/2.png", 2)</f>
        <v>0</v>
      </c>
      <c r="E2645">
        <f>IMAGE("https://raw.githubusercontent.com/stautonico/tcg-livingdex/main/images/882/3.png", 2)</f>
        <v>0</v>
      </c>
      <c r="G2645" t="s">
        <v>9</v>
      </c>
    </row>
    <row r="2646" spans="1:7">
      <c r="C2646" s="4" t="s">
        <v>2001</v>
      </c>
      <c r="D2646" s="4" t="s">
        <v>2002</v>
      </c>
      <c r="E2646" s="4" t="s">
        <v>2003</v>
      </c>
    </row>
    <row r="2648" spans="1:7" ht="264" customHeight="1">
      <c r="A2648" s="2">
        <v>883</v>
      </c>
      <c r="B2648" s="3" t="s">
        <v>2004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8</v>
      </c>
    </row>
    <row r="2651" spans="1:7" ht="264" customHeight="1">
      <c r="A2651" s="2">
        <v>884</v>
      </c>
      <c r="B2651" s="3" t="s">
        <v>2005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8</v>
      </c>
    </row>
    <row r="2654" spans="1:7" ht="264" customHeight="1">
      <c r="A2654" s="2">
        <v>885</v>
      </c>
      <c r="B2654" s="3" t="s">
        <v>2006</v>
      </c>
      <c r="C2654">
        <f>IMAGE("https://raw.githubusercontent.com/stautonico/tcg-livingdex/main/images/885/1.png", 2)</f>
        <v>0</v>
      </c>
      <c r="D2654">
        <f>IMAGE("https://raw.githubusercontent.com/stautonico/tcg-livingdex/main/images/885/2.png", 2)</f>
        <v>0</v>
      </c>
      <c r="E2654">
        <f>IMAGE("https://raw.githubusercontent.com/stautonico/tcg-livingdex/main/images/885/3.png", 2)</f>
        <v>0</v>
      </c>
      <c r="F2654">
        <f>IMAGE("https://raw.githubusercontent.com/stautonico/tcg-livingdex/main/images/885/4.png", 2)</f>
        <v>0</v>
      </c>
      <c r="G2654" t="s">
        <v>9</v>
      </c>
    </row>
    <row r="2655" spans="1:7">
      <c r="C2655" s="4" t="s">
        <v>2007</v>
      </c>
      <c r="D2655" s="4" t="s">
        <v>2008</v>
      </c>
      <c r="E2655" s="4" t="s">
        <v>2009</v>
      </c>
      <c r="F2655" s="4" t="s">
        <v>2010</v>
      </c>
    </row>
    <row r="2657" spans="1:7" ht="264" customHeight="1">
      <c r="A2657" s="2">
        <v>886</v>
      </c>
      <c r="B2657" s="3" t="s">
        <v>2011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8</v>
      </c>
    </row>
    <row r="2660" spans="1:7" ht="264" customHeight="1">
      <c r="A2660" s="2">
        <v>887</v>
      </c>
      <c r="B2660" s="3" t="s">
        <v>2012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8</v>
      </c>
    </row>
    <row r="2663" spans="1:7" ht="264" customHeight="1">
      <c r="A2663" s="2">
        <v>888</v>
      </c>
      <c r="B2663" s="3" t="s">
        <v>2013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8</v>
      </c>
    </row>
    <row r="2666" spans="1:7" ht="264" customHeight="1">
      <c r="A2666" s="2">
        <v>889</v>
      </c>
      <c r="B2666" s="3" t="s">
        <v>2014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8</v>
      </c>
    </row>
    <row r="2669" spans="1:7" ht="264" customHeight="1">
      <c r="A2669" s="2">
        <v>890</v>
      </c>
      <c r="B2669" s="3" t="s">
        <v>2015</v>
      </c>
      <c r="C2669">
        <f>IMAGE("https://raw.githubusercontent.com/stautonico/tcg-livingdex/main/images/890/1.png", 2)</f>
        <v>0</v>
      </c>
      <c r="D2669">
        <f>IMAGE("https://raw.githubusercontent.com/stautonico/tcg-livingdex/main/images/890/2.png", 2)</f>
        <v>0</v>
      </c>
      <c r="E2669">
        <f>IMAGE("https://raw.githubusercontent.com/stautonico/tcg-livingdex/main/images/890/3.png", 2)</f>
        <v>0</v>
      </c>
      <c r="F2669">
        <f>IMAGE("https://raw.githubusercontent.com/stautonico/tcg-livingdex/main/images/890/4.png", 2)</f>
        <v>0</v>
      </c>
      <c r="G2669" t="s">
        <v>9</v>
      </c>
    </row>
    <row r="2670" spans="1:7">
      <c r="C2670" s="4" t="s">
        <v>2016</v>
      </c>
      <c r="D2670" s="4" t="s">
        <v>2017</v>
      </c>
      <c r="E2670" s="4" t="s">
        <v>2018</v>
      </c>
      <c r="F2670" s="4" t="s">
        <v>2019</v>
      </c>
    </row>
    <row r="2672" spans="1:7" ht="264" customHeight="1">
      <c r="A2672" s="2">
        <v>891</v>
      </c>
      <c r="B2672" s="3" t="s">
        <v>2020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2021</v>
      </c>
    </row>
    <row r="2675" spans="1:7" ht="264" customHeight="1">
      <c r="A2675" s="2">
        <v>892</v>
      </c>
      <c r="B2675" s="3" t="s">
        <v>2022</v>
      </c>
      <c r="C2675">
        <f>IMAGE("https://raw.githubusercontent.com/stautonico/tcg-livingdex/main/images/892/1.png", 2)</f>
        <v>0</v>
      </c>
      <c r="D2675">
        <f>IMAGE("https://raw.githubusercontent.com/stautonico/tcg-livingdex/main/images/892/2.png", 2)</f>
        <v>0</v>
      </c>
      <c r="E2675">
        <f>IMAGE("https://raw.githubusercontent.com/stautonico/tcg-livingdex/main/images/892/3.png", 2)</f>
        <v>0</v>
      </c>
      <c r="F2675">
        <f>IMAGE("https://raw.githubusercontent.com/stautonico/tcg-livingdex/main/images/892/4.png", 2)</f>
        <v>0</v>
      </c>
      <c r="G2675" t="s">
        <v>9</v>
      </c>
    </row>
    <row r="2676" spans="1:7">
      <c r="C2676" s="4" t="s">
        <v>2023</v>
      </c>
      <c r="D2676" s="4" t="s">
        <v>2024</v>
      </c>
      <c r="E2676" s="4" t="s">
        <v>2025</v>
      </c>
      <c r="F2676" s="4" t="s">
        <v>2026</v>
      </c>
    </row>
    <row r="2678" spans="1:7" ht="264" customHeight="1">
      <c r="A2678" s="2">
        <v>893</v>
      </c>
      <c r="B2678" s="3" t="s">
        <v>2027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8</v>
      </c>
    </row>
    <row r="2681" spans="1:7" ht="264" customHeight="1">
      <c r="A2681" s="2">
        <v>894</v>
      </c>
      <c r="B2681" s="3" t="s">
        <v>2028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8</v>
      </c>
    </row>
    <row r="2684" spans="1:7" ht="264" customHeight="1">
      <c r="A2684" s="2">
        <v>895</v>
      </c>
      <c r="B2684" s="3" t="s">
        <v>2029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8</v>
      </c>
    </row>
    <row r="2687" spans="1:7" ht="264" customHeight="1">
      <c r="A2687" s="2">
        <v>896</v>
      </c>
      <c r="B2687" s="3" t="s">
        <v>2030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2031</v>
      </c>
    </row>
    <row r="2690" spans="1:7" ht="264" customHeight="1">
      <c r="A2690" s="2">
        <v>897</v>
      </c>
      <c r="B2690" s="3" t="s">
        <v>2032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2033</v>
      </c>
    </row>
    <row r="2693" spans="1:7" ht="264" customHeight="1">
      <c r="A2693" s="2">
        <v>898</v>
      </c>
      <c r="B2693" s="3" t="s">
        <v>2034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8</v>
      </c>
    </row>
    <row r="2696" spans="1:7" ht="264" customHeight="1">
      <c r="A2696" s="2">
        <v>899</v>
      </c>
      <c r="B2696" s="3" t="s">
        <v>2035</v>
      </c>
      <c r="C2696">
        <f>IMAGE("https://raw.githubusercontent.com/stautonico/tcg-livingdex/main/images/899/1.png", 2)</f>
        <v>0</v>
      </c>
      <c r="D2696">
        <f>IMAGE("https://raw.githubusercontent.com/stautonico/tcg-livingdex/main/images/899/2.png", 2)</f>
        <v>0</v>
      </c>
      <c r="E2696">
        <f>IMAGE("https://raw.githubusercontent.com/stautonico/tcg-livingdex/main/images/899/3.png", 2)</f>
        <v>0</v>
      </c>
      <c r="F2696">
        <f>IMAGE("https://raw.githubusercontent.com/stautonico/tcg-livingdex/main/images/899/4.png", 2)</f>
        <v>0</v>
      </c>
      <c r="G2696" t="s">
        <v>9</v>
      </c>
    </row>
    <row r="2697" spans="1:7">
      <c r="C2697" s="4" t="s">
        <v>2036</v>
      </c>
      <c r="D2697" s="4" t="s">
        <v>2037</v>
      </c>
      <c r="E2697" s="4" t="s">
        <v>2038</v>
      </c>
      <c r="F2697" s="4" t="s">
        <v>2039</v>
      </c>
    </row>
    <row r="2699" spans="1:7" ht="264" customHeight="1">
      <c r="A2699" s="2">
        <v>900</v>
      </c>
      <c r="B2699" s="3" t="s">
        <v>2040</v>
      </c>
      <c r="C2699">
        <f>IMAGE("https://raw.githubusercontent.com/stautonico/tcg-livingdex/main/images/900/1.png", 2)</f>
        <v>0</v>
      </c>
      <c r="D2699">
        <f>IMAGE("https://raw.githubusercontent.com/stautonico/tcg-livingdex/main/images/900/2.png", 2)</f>
        <v>0</v>
      </c>
      <c r="E2699">
        <f>IMAGE("https://raw.githubusercontent.com/stautonico/tcg-livingdex/main/images/900/3.png", 2)</f>
        <v>0</v>
      </c>
      <c r="F2699">
        <f>IMAGE("https://raw.githubusercontent.com/stautonico/tcg-livingdex/main/images/900/4.png", 2)</f>
        <v>0</v>
      </c>
      <c r="G2699" t="s">
        <v>9</v>
      </c>
    </row>
    <row r="2700" spans="1:7">
      <c r="C2700" s="4" t="s">
        <v>2041</v>
      </c>
      <c r="D2700" s="4" t="s">
        <v>2042</v>
      </c>
      <c r="E2700" s="4" t="s">
        <v>2043</v>
      </c>
      <c r="F2700" s="4" t="s">
        <v>2044</v>
      </c>
    </row>
    <row r="2702" spans="1:7" ht="264" customHeight="1">
      <c r="A2702" s="2">
        <v>901</v>
      </c>
      <c r="B2702" s="3" t="s">
        <v>2045</v>
      </c>
      <c r="C2702">
        <f>IMAGE("https://raw.githubusercontent.com/stautonico/tcg-livingdex/main/images/901/1.png", 2)</f>
        <v>0</v>
      </c>
      <c r="D2702">
        <f>IMAGE("https://raw.githubusercontent.com/stautonico/tcg-livingdex/main/images/901/2.png", 2)</f>
        <v>0</v>
      </c>
      <c r="E2702">
        <f>IMAGE("https://raw.githubusercontent.com/stautonico/tcg-livingdex/main/images/901/3.png", 2)</f>
        <v>0</v>
      </c>
      <c r="F2702">
        <f>IMAGE("https://raw.githubusercontent.com/stautonico/tcg-livingdex/main/images/901/4.png", 2)</f>
        <v>0</v>
      </c>
      <c r="G2702" t="s">
        <v>9</v>
      </c>
    </row>
    <row r="2703" spans="1:7">
      <c r="C2703" s="4" t="s">
        <v>2046</v>
      </c>
      <c r="D2703" s="4" t="s">
        <v>2047</v>
      </c>
      <c r="E2703" s="4" t="s">
        <v>2048</v>
      </c>
      <c r="F2703" s="4" t="s">
        <v>2049</v>
      </c>
    </row>
    <row r="2705" spans="1:7" ht="264" customHeight="1">
      <c r="A2705" s="2">
        <v>902</v>
      </c>
      <c r="B2705" s="3" t="s">
        <v>2050</v>
      </c>
      <c r="C2705">
        <f>IMAGE("https://raw.githubusercontent.com/stautonico/tcg-livingdex/main/images/902/1.png", 2)</f>
        <v>0</v>
      </c>
      <c r="D2705">
        <f>IMAGE("https://raw.githubusercontent.com/stautonico/tcg-livingdex/main/images/902/2.png", 2)</f>
        <v>0</v>
      </c>
      <c r="E2705">
        <f>IMAGE("https://raw.githubusercontent.com/stautonico/tcg-livingdex/main/images/902/3.png", 2)</f>
        <v>0</v>
      </c>
      <c r="G2705" t="s">
        <v>9</v>
      </c>
    </row>
    <row r="2706" spans="1:7">
      <c r="C2706" s="4" t="s">
        <v>2051</v>
      </c>
      <c r="D2706" s="4" t="s">
        <v>2052</v>
      </c>
      <c r="E2706" s="4" t="s">
        <v>2053</v>
      </c>
    </row>
    <row r="2708" spans="1:7" ht="264" customHeight="1">
      <c r="A2708" s="2">
        <v>903</v>
      </c>
      <c r="B2708" s="3" t="s">
        <v>2054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8</v>
      </c>
    </row>
    <row r="2711" spans="1:7" ht="264" customHeight="1">
      <c r="A2711" s="2">
        <v>904</v>
      </c>
      <c r="B2711" s="3" t="s">
        <v>2055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8</v>
      </c>
    </row>
    <row r="2714" spans="1:7" ht="264" customHeight="1">
      <c r="A2714" s="2">
        <v>905</v>
      </c>
      <c r="B2714" s="3" t="s">
        <v>2056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8</v>
      </c>
    </row>
    <row r="2717" spans="1:7" ht="264" customHeight="1">
      <c r="A2717" s="2">
        <v>906</v>
      </c>
      <c r="B2717" s="3" t="s">
        <v>2057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8</v>
      </c>
    </row>
    <row r="2720" spans="1:7" ht="264" customHeight="1">
      <c r="A2720" s="2">
        <v>907</v>
      </c>
      <c r="B2720" s="3" t="s">
        <v>2058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8</v>
      </c>
    </row>
    <row r="2723" spans="1:7" ht="264" customHeight="1">
      <c r="A2723" s="2">
        <v>908</v>
      </c>
      <c r="B2723" s="3" t="s">
        <v>2059</v>
      </c>
      <c r="C2723">
        <f>IMAGE("https://raw.githubusercontent.com/stautonico/tcg-livingdex/main/images/908/1.png", 2)</f>
        <v>0</v>
      </c>
      <c r="D2723">
        <f>IMAGE("https://raw.githubusercontent.com/stautonico/tcg-livingdex/main/images/908/2.png", 2)</f>
        <v>0</v>
      </c>
      <c r="E2723">
        <f>IMAGE("https://raw.githubusercontent.com/stautonico/tcg-livingdex/main/images/908/3.png", 2)</f>
        <v>0</v>
      </c>
      <c r="F2723">
        <f>IMAGE("https://raw.githubusercontent.com/stautonico/tcg-livingdex/main/images/908/4.png", 2)</f>
        <v>0</v>
      </c>
      <c r="G2723" t="s">
        <v>9</v>
      </c>
    </row>
    <row r="2724" spans="1:7">
      <c r="C2724" s="4" t="s">
        <v>2060</v>
      </c>
      <c r="D2724" s="4" t="s">
        <v>2061</v>
      </c>
      <c r="E2724" s="4" t="s">
        <v>2062</v>
      </c>
      <c r="F2724" s="4" t="s">
        <v>2063</v>
      </c>
    </row>
    <row r="2726" spans="1:7" ht="264" customHeight="1">
      <c r="A2726" s="2">
        <v>909</v>
      </c>
      <c r="B2726" s="3" t="s">
        <v>2064</v>
      </c>
      <c r="C2726">
        <f>IMAGE("https://raw.githubusercontent.com/stautonico/tcg-livingdex/main/images/909/1.png", 2)</f>
        <v>0</v>
      </c>
      <c r="D2726">
        <f>IMAGE("https://raw.githubusercontent.com/stautonico/tcg-livingdex/main/images/909/2.png", 2)</f>
        <v>0</v>
      </c>
      <c r="E2726">
        <f>IMAGE("https://raw.githubusercontent.com/stautonico/tcg-livingdex/main/images/909/3.png", 2)</f>
        <v>0</v>
      </c>
      <c r="F2726">
        <f>IMAGE("https://raw.githubusercontent.com/stautonico/tcg-livingdex/main/images/909/4.png", 2)</f>
        <v>0</v>
      </c>
      <c r="G2726" t="s">
        <v>9</v>
      </c>
    </row>
    <row r="2727" spans="1:7">
      <c r="C2727" s="4" t="s">
        <v>2065</v>
      </c>
      <c r="D2727" s="4" t="s">
        <v>2066</v>
      </c>
      <c r="E2727" s="4" t="s">
        <v>2067</v>
      </c>
      <c r="F2727" s="4" t="s">
        <v>2068</v>
      </c>
    </row>
    <row r="2729" spans="1:7" ht="264" customHeight="1">
      <c r="A2729" s="2">
        <v>910</v>
      </c>
      <c r="B2729" s="3" t="s">
        <v>2069</v>
      </c>
      <c r="C2729">
        <f>IMAGE("https://raw.githubusercontent.com/stautonico/tcg-livingdex/main/images/910/1.png", 2)</f>
        <v>0</v>
      </c>
      <c r="D2729">
        <f>IMAGE("https://raw.githubusercontent.com/stautonico/tcg-livingdex/main/images/910/2.png", 2)</f>
        <v>0</v>
      </c>
      <c r="E2729">
        <f>IMAGE("https://raw.githubusercontent.com/stautonico/tcg-livingdex/main/images/910/3.png", 2)</f>
        <v>0</v>
      </c>
      <c r="F2729">
        <f>IMAGE("https://raw.githubusercontent.com/stautonico/tcg-livingdex/main/images/910/4.png", 2)</f>
        <v>0</v>
      </c>
      <c r="G2729" t="s">
        <v>9</v>
      </c>
    </row>
    <row r="2730" spans="1:7">
      <c r="C2730" s="4" t="s">
        <v>2070</v>
      </c>
      <c r="D2730" s="4" t="s">
        <v>2071</v>
      </c>
      <c r="E2730" s="4" t="s">
        <v>2072</v>
      </c>
      <c r="F2730" s="4" t="s">
        <v>2073</v>
      </c>
    </row>
    <row r="2732" spans="1:7" ht="264" customHeight="1">
      <c r="A2732" s="2">
        <v>911</v>
      </c>
      <c r="B2732" s="3" t="s">
        <v>2074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8</v>
      </c>
    </row>
    <row r="2735" spans="1:7" ht="264" customHeight="1">
      <c r="A2735" s="2">
        <v>912</v>
      </c>
      <c r="B2735" s="3" t="s">
        <v>2075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8</v>
      </c>
    </row>
    <row r="2738" spans="1:7" ht="264" customHeight="1">
      <c r="A2738" s="2">
        <v>913</v>
      </c>
      <c r="B2738" s="3" t="s">
        <v>2076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8</v>
      </c>
    </row>
    <row r="2741" spans="1:7" ht="264" customHeight="1">
      <c r="A2741" s="2">
        <v>914</v>
      </c>
      <c r="B2741" s="3" t="s">
        <v>2077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8</v>
      </c>
    </row>
    <row r="2744" spans="1:7" ht="264" customHeight="1">
      <c r="A2744" s="2">
        <v>915</v>
      </c>
      <c r="B2744" s="3" t="s">
        <v>2078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8</v>
      </c>
    </row>
    <row r="2747" spans="1:7" ht="264" customHeight="1">
      <c r="A2747" s="2">
        <v>916</v>
      </c>
      <c r="B2747" s="3" t="s">
        <v>2079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8</v>
      </c>
    </row>
    <row r="2750" spans="1:7" ht="264" customHeight="1">
      <c r="A2750" s="2">
        <v>917</v>
      </c>
      <c r="B2750" s="3" t="s">
        <v>2080</v>
      </c>
      <c r="C2750">
        <f>IMAGE("https://raw.githubusercontent.com/stautonico/tcg-livingdex/main/images/917/1.png", 2)</f>
        <v>0</v>
      </c>
      <c r="D2750">
        <f>IMAGE("https://raw.githubusercontent.com/stautonico/tcg-livingdex/main/images/917/2.png", 2)</f>
        <v>0</v>
      </c>
      <c r="E2750">
        <f>IMAGE("https://raw.githubusercontent.com/stautonico/tcg-livingdex/main/images/917/3.png", 2)</f>
        <v>0</v>
      </c>
      <c r="F2750">
        <f>IMAGE("https://raw.githubusercontent.com/stautonico/tcg-livingdex/main/images/917/4.png", 2)</f>
        <v>0</v>
      </c>
      <c r="G2750" t="s">
        <v>9</v>
      </c>
    </row>
    <row r="2751" spans="1:7">
      <c r="C2751" s="4" t="s">
        <v>2081</v>
      </c>
      <c r="D2751" s="4" t="s">
        <v>2082</v>
      </c>
      <c r="E2751" s="4" t="s">
        <v>2083</v>
      </c>
      <c r="F2751" s="4" t="s">
        <v>2084</v>
      </c>
    </row>
    <row r="2753" spans="1:7" ht="264" customHeight="1">
      <c r="A2753" s="2">
        <v>918</v>
      </c>
      <c r="B2753" s="3" t="s">
        <v>2085</v>
      </c>
      <c r="C2753">
        <f>IMAGE("https://raw.githubusercontent.com/stautonico/tcg-livingdex/main/images/918/1.png", 2)</f>
        <v>0</v>
      </c>
      <c r="D2753">
        <f>IMAGE("https://raw.githubusercontent.com/stautonico/tcg-livingdex/main/images/918/2.png", 2)</f>
        <v>0</v>
      </c>
      <c r="E2753">
        <f>IMAGE("https://raw.githubusercontent.com/stautonico/tcg-livingdex/main/images/918/3.png", 2)</f>
        <v>0</v>
      </c>
      <c r="F2753">
        <f>IMAGE("https://raw.githubusercontent.com/stautonico/tcg-livingdex/main/images/918/4.png", 2)</f>
        <v>0</v>
      </c>
      <c r="G2753" t="s">
        <v>9</v>
      </c>
    </row>
    <row r="2754" spans="1:7">
      <c r="C2754" s="4" t="s">
        <v>2086</v>
      </c>
      <c r="D2754" s="4" t="s">
        <v>2087</v>
      </c>
      <c r="E2754" s="4" t="s">
        <v>2088</v>
      </c>
      <c r="F2754" s="4" t="s">
        <v>2089</v>
      </c>
    </row>
    <row r="2756" spans="1:7" ht="264" customHeight="1">
      <c r="A2756" s="2">
        <v>919</v>
      </c>
      <c r="B2756" s="3" t="s">
        <v>2090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8</v>
      </c>
    </row>
    <row r="2759" spans="1:7" ht="264" customHeight="1">
      <c r="A2759" s="2">
        <v>920</v>
      </c>
      <c r="B2759" s="3" t="s">
        <v>2091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8</v>
      </c>
    </row>
    <row r="2762" spans="1:7" ht="264" customHeight="1">
      <c r="A2762" s="2">
        <v>921</v>
      </c>
      <c r="B2762" s="3" t="s">
        <v>2092</v>
      </c>
      <c r="C2762">
        <f>IMAGE("https://raw.githubusercontent.com/stautonico/tcg-livingdex/main/images/921/1.png", 2)</f>
        <v>0</v>
      </c>
      <c r="D2762">
        <f>IMAGE("https://raw.githubusercontent.com/stautonico/tcg-livingdex/main/images/921/2.png", 2)</f>
        <v>0</v>
      </c>
      <c r="E2762">
        <f>IMAGE("https://raw.githubusercontent.com/stautonico/tcg-livingdex/main/images/921/3.png", 2)</f>
        <v>0</v>
      </c>
      <c r="F2762">
        <f>IMAGE("https://raw.githubusercontent.com/stautonico/tcg-livingdex/main/images/921/4.png", 2)</f>
        <v>0</v>
      </c>
      <c r="G2762" t="s">
        <v>9</v>
      </c>
    </row>
    <row r="2763" spans="1:7">
      <c r="C2763" s="4" t="s">
        <v>2093</v>
      </c>
      <c r="D2763" s="4" t="s">
        <v>2094</v>
      </c>
      <c r="E2763" s="4" t="s">
        <v>2095</v>
      </c>
      <c r="F2763" s="4" t="s">
        <v>2096</v>
      </c>
    </row>
    <row r="2765" spans="1:7" ht="264" customHeight="1">
      <c r="A2765" s="2">
        <v>922</v>
      </c>
      <c r="B2765" s="3" t="s">
        <v>2097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8</v>
      </c>
    </row>
    <row r="2768" spans="1:7" ht="264" customHeight="1">
      <c r="A2768" s="2">
        <v>923</v>
      </c>
      <c r="B2768" s="3" t="s">
        <v>2098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8</v>
      </c>
    </row>
    <row r="2771" spans="1:7" ht="264" customHeight="1">
      <c r="A2771" s="2">
        <v>924</v>
      </c>
      <c r="B2771" s="3" t="s">
        <v>2099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8</v>
      </c>
    </row>
    <row r="2774" spans="1:7" ht="264" customHeight="1">
      <c r="A2774" s="2">
        <v>925</v>
      </c>
      <c r="B2774" s="3" t="s">
        <v>2100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8</v>
      </c>
    </row>
    <row r="2777" spans="1:7" ht="264" customHeight="1">
      <c r="A2777" s="2">
        <v>926</v>
      </c>
      <c r="B2777" s="3" t="s">
        <v>2101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8</v>
      </c>
    </row>
    <row r="2780" spans="1:7" ht="264" customHeight="1">
      <c r="A2780" s="2">
        <v>927</v>
      </c>
      <c r="B2780" s="3" t="s">
        <v>2102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8</v>
      </c>
    </row>
    <row r="2783" spans="1:7" ht="264" customHeight="1">
      <c r="A2783" s="2">
        <v>928</v>
      </c>
      <c r="B2783" s="3" t="s">
        <v>2103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8</v>
      </c>
    </row>
    <row r="2786" spans="1:7" ht="264" customHeight="1">
      <c r="A2786" s="2">
        <v>929</v>
      </c>
      <c r="B2786" s="3" t="s">
        <v>2104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8</v>
      </c>
    </row>
    <row r="2789" spans="1:7" ht="264" customHeight="1">
      <c r="A2789" s="2">
        <v>930</v>
      </c>
      <c r="B2789" s="3" t="s">
        <v>2105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8</v>
      </c>
    </row>
    <row r="2792" spans="1:7" ht="264" customHeight="1">
      <c r="A2792" s="2">
        <v>931</v>
      </c>
      <c r="B2792" s="3" t="s">
        <v>2106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8</v>
      </c>
    </row>
    <row r="2795" spans="1:7" ht="264" customHeight="1">
      <c r="A2795" s="2">
        <v>932</v>
      </c>
      <c r="B2795" s="3" t="s">
        <v>2107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8</v>
      </c>
    </row>
    <row r="2798" spans="1:7" ht="264" customHeight="1">
      <c r="A2798" s="2">
        <v>933</v>
      </c>
      <c r="B2798" s="3" t="s">
        <v>2108</v>
      </c>
      <c r="C2798">
        <f>IMAGE("https://raw.githubusercontent.com/stautonico/tcg-livingdex/main/images/933/1.png", 2)</f>
        <v>0</v>
      </c>
      <c r="D2798">
        <f>IMAGE("https://raw.githubusercontent.com/stautonico/tcg-livingdex/main/images/933/2.png", 2)</f>
        <v>0</v>
      </c>
      <c r="E2798">
        <f>IMAGE("https://raw.githubusercontent.com/stautonico/tcg-livingdex/main/images/933/3.png", 2)</f>
        <v>0</v>
      </c>
      <c r="G2798" t="s">
        <v>9</v>
      </c>
    </row>
    <row r="2799" spans="1:7">
      <c r="C2799" s="4" t="s">
        <v>2109</v>
      </c>
      <c r="D2799" s="4" t="s">
        <v>2110</v>
      </c>
      <c r="E2799" s="4" t="s">
        <v>2111</v>
      </c>
    </row>
    <row r="2801" spans="1:7" ht="264" customHeight="1">
      <c r="A2801" s="2">
        <v>934</v>
      </c>
      <c r="B2801" s="3" t="s">
        <v>2112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8</v>
      </c>
    </row>
    <row r="2804" spans="1:7" ht="264" customHeight="1">
      <c r="A2804" s="2">
        <v>935</v>
      </c>
      <c r="B2804" s="3" t="s">
        <v>2113</v>
      </c>
      <c r="C2804">
        <f>IMAGE("https://raw.githubusercontent.com/stautonico/tcg-livingdex/main/images/935/1.png", 2)</f>
        <v>0</v>
      </c>
      <c r="D2804">
        <f>IMAGE("https://raw.githubusercontent.com/stautonico/tcg-livingdex/main/images/935/2.png", 2)</f>
        <v>0</v>
      </c>
      <c r="E2804">
        <f>IMAGE("https://raw.githubusercontent.com/stautonico/tcg-livingdex/main/images/935/3.png", 2)</f>
        <v>0</v>
      </c>
      <c r="F2804">
        <f>IMAGE("https://raw.githubusercontent.com/stautonico/tcg-livingdex/main/images/935/4.png", 2)</f>
        <v>0</v>
      </c>
      <c r="G2804" t="s">
        <v>9</v>
      </c>
    </row>
    <row r="2805" spans="1:7">
      <c r="C2805" s="4" t="s">
        <v>2114</v>
      </c>
      <c r="D2805" s="4" t="s">
        <v>2115</v>
      </c>
      <c r="E2805" s="4" t="s">
        <v>2116</v>
      </c>
      <c r="F2805" s="4" t="s">
        <v>2117</v>
      </c>
    </row>
    <row r="2807" spans="1:7" ht="264" customHeight="1">
      <c r="A2807" s="2">
        <v>936</v>
      </c>
      <c r="B2807" s="3" t="s">
        <v>2118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8</v>
      </c>
    </row>
    <row r="2810" spans="1:7" ht="264" customHeight="1">
      <c r="A2810" s="2">
        <v>937</v>
      </c>
      <c r="B2810" s="3" t="s">
        <v>2119</v>
      </c>
      <c r="C2810">
        <f>IMAGE("https://raw.githubusercontent.com/stautonico/tcg-livingdex/main/images/937/1.png", 2)</f>
        <v>0</v>
      </c>
      <c r="G2810" t="s">
        <v>9</v>
      </c>
    </row>
    <row r="2811" spans="1:7">
      <c r="C2811" s="4" t="s">
        <v>8</v>
      </c>
    </row>
    <row r="2813" spans="1:7" ht="264" customHeight="1">
      <c r="A2813" s="2">
        <v>938</v>
      </c>
      <c r="B2813" s="3" t="s">
        <v>2120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8</v>
      </c>
    </row>
    <row r="2816" spans="1:7" ht="264" customHeight="1">
      <c r="A2816" s="2">
        <v>939</v>
      </c>
      <c r="B2816" s="3" t="s">
        <v>2121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8</v>
      </c>
    </row>
    <row r="2819" spans="1:7" ht="264" customHeight="1">
      <c r="A2819" s="2">
        <v>940</v>
      </c>
      <c r="B2819" s="3" t="s">
        <v>2122</v>
      </c>
      <c r="C2819">
        <f>IMAGE("https://raw.githubusercontent.com/stautonico/tcg-livingdex/main/images/940/1.png", 2)</f>
        <v>0</v>
      </c>
      <c r="D2819">
        <f>IMAGE("https://raw.githubusercontent.com/stautonico/tcg-livingdex/main/images/940/2.png", 2)</f>
        <v>0</v>
      </c>
      <c r="E2819">
        <f>IMAGE("https://raw.githubusercontent.com/stautonico/tcg-livingdex/main/images/940/3.png", 2)</f>
        <v>0</v>
      </c>
      <c r="F2819">
        <f>IMAGE("https://raw.githubusercontent.com/stautonico/tcg-livingdex/main/images/940/4.png", 2)</f>
        <v>0</v>
      </c>
      <c r="G2819" t="s">
        <v>9</v>
      </c>
    </row>
    <row r="2820" spans="1:7">
      <c r="C2820" s="4" t="s">
        <v>2123</v>
      </c>
      <c r="D2820" s="4" t="s">
        <v>2124</v>
      </c>
      <c r="E2820" s="4" t="s">
        <v>2125</v>
      </c>
      <c r="F2820" s="4" t="s">
        <v>2126</v>
      </c>
    </row>
    <row r="2822" spans="1:7" ht="264" customHeight="1">
      <c r="A2822" s="2">
        <v>941</v>
      </c>
      <c r="B2822" s="3" t="s">
        <v>2127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8</v>
      </c>
    </row>
    <row r="2825" spans="1:7" ht="264" customHeight="1">
      <c r="A2825" s="2">
        <v>942</v>
      </c>
      <c r="B2825" s="3" t="s">
        <v>2128</v>
      </c>
      <c r="C2825">
        <f>IMAGE("https://raw.githubusercontent.com/stautonico/tcg-livingdex/main/images/942/1.png", 2)</f>
        <v>0</v>
      </c>
      <c r="D2825">
        <f>IMAGE("https://raw.githubusercontent.com/stautonico/tcg-livingdex/main/images/942/2.png", 2)</f>
        <v>0</v>
      </c>
      <c r="E2825">
        <f>IMAGE("https://raw.githubusercontent.com/stautonico/tcg-livingdex/main/images/942/3.png", 2)</f>
        <v>0</v>
      </c>
      <c r="F2825">
        <f>IMAGE("https://raw.githubusercontent.com/stautonico/tcg-livingdex/main/images/942/4.png", 2)</f>
        <v>0</v>
      </c>
      <c r="G2825" t="s">
        <v>9</v>
      </c>
    </row>
    <row r="2826" spans="1:7">
      <c r="C2826" s="4" t="s">
        <v>2129</v>
      </c>
      <c r="D2826" s="4" t="s">
        <v>2130</v>
      </c>
      <c r="E2826" s="4" t="s">
        <v>2131</v>
      </c>
      <c r="F2826" s="4" t="s">
        <v>2132</v>
      </c>
    </row>
    <row r="2828" spans="1:7" ht="264" customHeight="1">
      <c r="A2828" s="2">
        <v>943</v>
      </c>
      <c r="B2828" s="3" t="s">
        <v>2133</v>
      </c>
      <c r="C2828">
        <f>IMAGE("https://raw.githubusercontent.com/stautonico/tcg-livingdex/main/images/943/1.png", 2)</f>
        <v>0</v>
      </c>
      <c r="D2828">
        <f>IMAGE("https://raw.githubusercontent.com/stautonico/tcg-livingdex/main/images/943/2.png", 2)</f>
        <v>0</v>
      </c>
      <c r="E2828">
        <f>IMAGE("https://raw.githubusercontent.com/stautonico/tcg-livingdex/main/images/943/3.png", 2)</f>
        <v>0</v>
      </c>
      <c r="F2828">
        <f>IMAGE("https://raw.githubusercontent.com/stautonico/tcg-livingdex/main/images/943/4.png", 2)</f>
        <v>0</v>
      </c>
      <c r="G2828" t="s">
        <v>9</v>
      </c>
    </row>
    <row r="2829" spans="1:7">
      <c r="C2829" s="4" t="s">
        <v>2134</v>
      </c>
      <c r="D2829" s="4" t="s">
        <v>2135</v>
      </c>
      <c r="E2829" s="4" t="s">
        <v>2136</v>
      </c>
      <c r="F2829" s="4" t="s">
        <v>2137</v>
      </c>
    </row>
    <row r="2831" spans="1:7" ht="264" customHeight="1">
      <c r="A2831" s="2">
        <v>944</v>
      </c>
      <c r="B2831" s="3" t="s">
        <v>2138</v>
      </c>
      <c r="C2831">
        <f>IMAGE("https://raw.githubusercontent.com/stautonico/tcg-livingdex/main/images/944/1.png", 2)</f>
        <v>0</v>
      </c>
      <c r="D2831">
        <f>IMAGE("https://raw.githubusercontent.com/stautonico/tcg-livingdex/main/images/944/2.png", 2)</f>
        <v>0</v>
      </c>
      <c r="E2831">
        <f>IMAGE("https://raw.githubusercontent.com/stautonico/tcg-livingdex/main/images/944/3.png", 2)</f>
        <v>0</v>
      </c>
      <c r="F2831">
        <f>IMAGE("https://raw.githubusercontent.com/stautonico/tcg-livingdex/main/images/944/4.png", 2)</f>
        <v>0</v>
      </c>
      <c r="G2831" t="s">
        <v>9</v>
      </c>
    </row>
    <row r="2832" spans="1:7">
      <c r="C2832" s="4" t="s">
        <v>2139</v>
      </c>
      <c r="D2832" s="4" t="s">
        <v>2140</v>
      </c>
      <c r="E2832" s="4" t="s">
        <v>2141</v>
      </c>
      <c r="F2832" s="4" t="s">
        <v>2142</v>
      </c>
    </row>
    <row r="2834" spans="1:7" ht="264" customHeight="1">
      <c r="A2834" s="2">
        <v>945</v>
      </c>
      <c r="B2834" s="3" t="s">
        <v>2143</v>
      </c>
      <c r="C2834">
        <f>IMAGE("https://raw.githubusercontent.com/stautonico/tcg-livingdex/main/images/945/1.png", 2)</f>
        <v>0</v>
      </c>
      <c r="D2834">
        <f>IMAGE("https://raw.githubusercontent.com/stautonico/tcg-livingdex/main/images/945/2.png", 2)</f>
        <v>0</v>
      </c>
      <c r="E2834">
        <f>IMAGE("https://raw.githubusercontent.com/stautonico/tcg-livingdex/main/images/945/3.png", 2)</f>
        <v>0</v>
      </c>
      <c r="G2834" t="s">
        <v>9</v>
      </c>
    </row>
    <row r="2835" spans="1:7">
      <c r="C2835" s="4" t="s">
        <v>2144</v>
      </c>
      <c r="D2835" s="4" t="s">
        <v>2145</v>
      </c>
      <c r="E2835" s="4" t="s">
        <v>2146</v>
      </c>
    </row>
    <row r="2837" spans="1:7" ht="264" customHeight="1">
      <c r="A2837" s="2">
        <v>946</v>
      </c>
      <c r="B2837" s="3" t="s">
        <v>2147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8</v>
      </c>
    </row>
    <row r="2840" spans="1:7" ht="264" customHeight="1">
      <c r="A2840" s="2">
        <v>947</v>
      </c>
      <c r="B2840" s="3" t="s">
        <v>2148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8</v>
      </c>
    </row>
    <row r="2843" spans="1:7" ht="264" customHeight="1">
      <c r="A2843" s="2">
        <v>948</v>
      </c>
      <c r="B2843" s="3" t="s">
        <v>2149</v>
      </c>
      <c r="C2843">
        <f>IMAGE("https://raw.githubusercontent.com/stautonico/tcg-livingdex/main/images/948/1.png", 2)</f>
        <v>0</v>
      </c>
      <c r="D2843">
        <f>IMAGE("https://raw.githubusercontent.com/stautonico/tcg-livingdex/main/images/948/2.png", 2)</f>
        <v>0</v>
      </c>
      <c r="E2843">
        <f>IMAGE("https://raw.githubusercontent.com/stautonico/tcg-livingdex/main/images/948/3.png", 2)</f>
        <v>0</v>
      </c>
      <c r="F2843">
        <f>IMAGE("https://raw.githubusercontent.com/stautonico/tcg-livingdex/main/images/948/4.png", 2)</f>
        <v>0</v>
      </c>
      <c r="G2843" t="s">
        <v>9</v>
      </c>
    </row>
    <row r="2844" spans="1:7">
      <c r="C2844" s="4" t="s">
        <v>2150</v>
      </c>
      <c r="D2844" s="4" t="s">
        <v>2151</v>
      </c>
      <c r="E2844" s="4" t="s">
        <v>2152</v>
      </c>
      <c r="F2844" s="4" t="s">
        <v>2153</v>
      </c>
    </row>
    <row r="2846" spans="1:7" ht="264" customHeight="1">
      <c r="A2846" s="2">
        <v>949</v>
      </c>
      <c r="B2846" s="3" t="s">
        <v>2154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8</v>
      </c>
    </row>
    <row r="2849" spans="1:7" ht="264" customHeight="1">
      <c r="A2849" s="2">
        <v>950</v>
      </c>
      <c r="B2849" s="3" t="s">
        <v>2155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8</v>
      </c>
    </row>
    <row r="2852" spans="1:7" ht="264" customHeight="1">
      <c r="A2852" s="2">
        <v>951</v>
      </c>
      <c r="B2852" s="3" t="s">
        <v>2156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8</v>
      </c>
    </row>
    <row r="2855" spans="1:7" ht="264" customHeight="1">
      <c r="A2855" s="2">
        <v>952</v>
      </c>
      <c r="B2855" s="3" t="s">
        <v>2157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8</v>
      </c>
    </row>
    <row r="2858" spans="1:7" ht="264" customHeight="1">
      <c r="A2858" s="2">
        <v>953</v>
      </c>
      <c r="B2858" s="3" t="s">
        <v>2158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8</v>
      </c>
    </row>
    <row r="2861" spans="1:7" ht="264" customHeight="1">
      <c r="A2861" s="2">
        <v>954</v>
      </c>
      <c r="B2861" s="3" t="s">
        <v>2159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8</v>
      </c>
    </row>
    <row r="2864" spans="1:7" ht="264" customHeight="1">
      <c r="A2864" s="2">
        <v>955</v>
      </c>
      <c r="B2864" s="3" t="s">
        <v>2160</v>
      </c>
      <c r="C2864">
        <f>IMAGE("https://raw.githubusercontent.com/stautonico/tcg-livingdex/main/images/955/1.png", 2)</f>
        <v>0</v>
      </c>
      <c r="D2864">
        <f>IMAGE("https://raw.githubusercontent.com/stautonico/tcg-livingdex/main/images/955/2.png", 2)</f>
        <v>0</v>
      </c>
      <c r="E2864">
        <f>IMAGE("https://raw.githubusercontent.com/stautonico/tcg-livingdex/main/images/955/3.png", 2)</f>
        <v>0</v>
      </c>
      <c r="F2864">
        <f>IMAGE("https://raw.githubusercontent.com/stautonico/tcg-livingdex/main/images/955/4.png", 2)</f>
        <v>0</v>
      </c>
      <c r="G2864" t="s">
        <v>9</v>
      </c>
    </row>
    <row r="2865" spans="1:7">
      <c r="C2865" s="4" t="s">
        <v>2161</v>
      </c>
      <c r="D2865" s="4" t="s">
        <v>2162</v>
      </c>
      <c r="E2865" s="4" t="s">
        <v>2163</v>
      </c>
      <c r="F2865" s="4" t="s">
        <v>2164</v>
      </c>
    </row>
    <row r="2867" spans="1:7" ht="264" customHeight="1">
      <c r="A2867" s="2">
        <v>956</v>
      </c>
      <c r="B2867" s="3" t="s">
        <v>2165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8</v>
      </c>
    </row>
    <row r="2870" spans="1:7" ht="264" customHeight="1">
      <c r="A2870" s="2">
        <v>957</v>
      </c>
      <c r="B2870" s="3" t="s">
        <v>2166</v>
      </c>
      <c r="C2870">
        <f>IMAGE("https://raw.githubusercontent.com/stautonico/tcg-livingdex/main/images/957/1.png", 2)</f>
        <v>0</v>
      </c>
      <c r="D2870">
        <f>IMAGE("https://raw.githubusercontent.com/stautonico/tcg-livingdex/main/images/957/2.png", 2)</f>
        <v>0</v>
      </c>
      <c r="E2870">
        <f>IMAGE("https://raw.githubusercontent.com/stautonico/tcg-livingdex/main/images/957/3.png", 2)</f>
        <v>0</v>
      </c>
      <c r="F2870">
        <f>IMAGE("https://raw.githubusercontent.com/stautonico/tcg-livingdex/main/images/957/4.png", 2)</f>
        <v>0</v>
      </c>
      <c r="G2870" t="s">
        <v>9</v>
      </c>
    </row>
    <row r="2871" spans="1:7">
      <c r="C2871" s="4" t="s">
        <v>2167</v>
      </c>
      <c r="D2871" s="4" t="s">
        <v>2168</v>
      </c>
      <c r="E2871" s="4" t="s">
        <v>2169</v>
      </c>
      <c r="F2871" s="4" t="s">
        <v>2170</v>
      </c>
    </row>
    <row r="2873" spans="1:7" ht="264" customHeight="1">
      <c r="A2873" s="2">
        <v>958</v>
      </c>
      <c r="B2873" s="3" t="s">
        <v>2171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8</v>
      </c>
    </row>
    <row r="2876" spans="1:7" ht="264" customHeight="1">
      <c r="A2876" s="2">
        <v>959</v>
      </c>
      <c r="B2876" s="3" t="s">
        <v>2172</v>
      </c>
      <c r="C2876">
        <f>IMAGE("https://raw.githubusercontent.com/stautonico/tcg-livingdex/main/images/959/1.png", 2)</f>
        <v>0</v>
      </c>
      <c r="D2876">
        <f>IMAGE("https://raw.githubusercontent.com/stautonico/tcg-livingdex/main/images/959/2.png", 2)</f>
        <v>0</v>
      </c>
      <c r="E2876">
        <f>IMAGE("https://raw.githubusercontent.com/stautonico/tcg-livingdex/main/images/959/3.png", 2)</f>
        <v>0</v>
      </c>
      <c r="F2876">
        <f>IMAGE("https://raw.githubusercontent.com/stautonico/tcg-livingdex/main/images/959/4.png", 2)</f>
        <v>0</v>
      </c>
      <c r="G2876" t="s">
        <v>9</v>
      </c>
    </row>
    <row r="2877" spans="1:7">
      <c r="C2877" s="4" t="s">
        <v>2173</v>
      </c>
      <c r="D2877" s="4" t="s">
        <v>2174</v>
      </c>
      <c r="E2877" s="4" t="s">
        <v>2175</v>
      </c>
      <c r="F2877" s="4" t="s">
        <v>2176</v>
      </c>
    </row>
    <row r="2879" spans="1:7" ht="264" customHeight="1">
      <c r="A2879" s="2">
        <v>960</v>
      </c>
      <c r="B2879" s="3" t="s">
        <v>2177</v>
      </c>
      <c r="C2879">
        <f>IMAGE("https://raw.githubusercontent.com/stautonico/tcg-livingdex/main/images/960/1.png", 2)</f>
        <v>0</v>
      </c>
      <c r="D2879">
        <f>IMAGE("https://raw.githubusercontent.com/stautonico/tcg-livingdex/main/images/960/2.png", 2)</f>
        <v>0</v>
      </c>
      <c r="E2879">
        <f>IMAGE("https://raw.githubusercontent.com/stautonico/tcg-livingdex/main/images/960/3.png", 2)</f>
        <v>0</v>
      </c>
      <c r="F2879">
        <f>IMAGE("https://raw.githubusercontent.com/stautonico/tcg-livingdex/main/images/960/4.png", 2)</f>
        <v>0</v>
      </c>
      <c r="G2879" t="s">
        <v>9</v>
      </c>
    </row>
    <row r="2880" spans="1:7">
      <c r="C2880" s="4" t="s">
        <v>2178</v>
      </c>
      <c r="D2880" s="4" t="s">
        <v>2179</v>
      </c>
      <c r="E2880" s="4" t="s">
        <v>2180</v>
      </c>
      <c r="F2880" s="4" t="s">
        <v>2181</v>
      </c>
    </row>
    <row r="2882" spans="1:7" ht="264" customHeight="1">
      <c r="A2882" s="2">
        <v>961</v>
      </c>
      <c r="B2882" s="3" t="s">
        <v>2182</v>
      </c>
      <c r="C2882">
        <f>IMAGE("https://raw.githubusercontent.com/stautonico/tcg-livingdex/main/images/961/1.png", 2)</f>
        <v>0</v>
      </c>
      <c r="D2882">
        <f>IMAGE("https://raw.githubusercontent.com/stautonico/tcg-livingdex/main/images/961/2.png", 2)</f>
        <v>0</v>
      </c>
      <c r="E2882">
        <f>IMAGE("https://raw.githubusercontent.com/stautonico/tcg-livingdex/main/images/961/3.png", 2)</f>
        <v>0</v>
      </c>
      <c r="F2882">
        <f>IMAGE("https://raw.githubusercontent.com/stautonico/tcg-livingdex/main/images/961/4.png", 2)</f>
        <v>0</v>
      </c>
      <c r="G2882" t="s">
        <v>9</v>
      </c>
    </row>
    <row r="2883" spans="1:7">
      <c r="C2883" s="4" t="s">
        <v>2183</v>
      </c>
      <c r="D2883" s="4" t="s">
        <v>2184</v>
      </c>
      <c r="E2883" s="4" t="s">
        <v>2185</v>
      </c>
      <c r="F2883" s="4" t="s">
        <v>2186</v>
      </c>
    </row>
    <row r="2885" spans="1:7" ht="264" customHeight="1">
      <c r="A2885" s="2">
        <v>962</v>
      </c>
      <c r="B2885" s="3" t="s">
        <v>2187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8</v>
      </c>
    </row>
    <row r="2888" spans="1:7" ht="264" customHeight="1">
      <c r="A2888" s="2">
        <v>963</v>
      </c>
      <c r="B2888" s="3" t="s">
        <v>2188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8</v>
      </c>
    </row>
    <row r="2891" spans="1:7" ht="264" customHeight="1">
      <c r="A2891" s="2">
        <v>964</v>
      </c>
      <c r="B2891" s="3" t="s">
        <v>2189</v>
      </c>
      <c r="C2891">
        <f>IMAGE("https://raw.githubusercontent.com/stautonico/tcg-livingdex/main/images/964/1.png", 2)</f>
        <v>0</v>
      </c>
      <c r="D2891">
        <f>IMAGE("https://raw.githubusercontent.com/stautonico/tcg-livingdex/main/images/964/2.png", 2)</f>
        <v>0</v>
      </c>
      <c r="E2891">
        <f>IMAGE("https://raw.githubusercontent.com/stautonico/tcg-livingdex/main/images/964/3.png", 2)</f>
        <v>0</v>
      </c>
      <c r="F2891">
        <f>IMAGE("https://raw.githubusercontent.com/stautonico/tcg-livingdex/main/images/964/4.png", 2)</f>
        <v>0</v>
      </c>
      <c r="G2891" t="s">
        <v>9</v>
      </c>
    </row>
    <row r="2892" spans="1:7">
      <c r="C2892" s="4" t="s">
        <v>2190</v>
      </c>
      <c r="D2892" s="4" t="s">
        <v>2191</v>
      </c>
      <c r="E2892" s="4" t="s">
        <v>2192</v>
      </c>
      <c r="F2892" s="4" t="s">
        <v>2193</v>
      </c>
    </row>
    <row r="2894" spans="1:7" ht="264" customHeight="1">
      <c r="A2894" s="2">
        <v>965</v>
      </c>
      <c r="B2894" s="3" t="s">
        <v>2194</v>
      </c>
      <c r="C2894">
        <f>IMAGE("https://raw.githubusercontent.com/stautonico/tcg-livingdex/main/images/965/1.png", 2)</f>
        <v>0</v>
      </c>
      <c r="D2894">
        <f>IMAGE("https://raw.githubusercontent.com/stautonico/tcg-livingdex/main/images/965/2.png", 2)</f>
        <v>0</v>
      </c>
      <c r="G2894" t="s">
        <v>9</v>
      </c>
    </row>
    <row r="2895" spans="1:7">
      <c r="C2895" s="4" t="s">
        <v>2195</v>
      </c>
      <c r="D2895" s="4" t="s">
        <v>2196</v>
      </c>
    </row>
    <row r="2897" spans="1:7" ht="264" customHeight="1">
      <c r="A2897" s="2">
        <v>966</v>
      </c>
      <c r="B2897" s="3" t="s">
        <v>2197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8</v>
      </c>
    </row>
    <row r="2900" spans="1:7" ht="264" customHeight="1">
      <c r="A2900" s="2">
        <v>967</v>
      </c>
      <c r="B2900" s="3" t="s">
        <v>2198</v>
      </c>
      <c r="C2900">
        <f>IMAGE("https://raw.githubusercontent.com/stautonico/tcg-livingdex/main/images/967/1.png", 2)</f>
        <v>0</v>
      </c>
      <c r="D2900">
        <f>IMAGE("https://raw.githubusercontent.com/stautonico/tcg-livingdex/main/images/967/2.png", 2)</f>
        <v>0</v>
      </c>
      <c r="E2900">
        <f>IMAGE("https://raw.githubusercontent.com/stautonico/tcg-livingdex/main/images/967/3.png", 2)</f>
        <v>0</v>
      </c>
      <c r="F2900">
        <f>IMAGE("https://raw.githubusercontent.com/stautonico/tcg-livingdex/main/images/967/4.png", 2)</f>
        <v>0</v>
      </c>
      <c r="G2900" t="s">
        <v>9</v>
      </c>
    </row>
    <row r="2901" spans="1:7">
      <c r="C2901" s="4" t="s">
        <v>2199</v>
      </c>
      <c r="D2901" s="4" t="s">
        <v>2200</v>
      </c>
      <c r="E2901" s="4" t="s">
        <v>2201</v>
      </c>
      <c r="F2901" s="4" t="s">
        <v>2202</v>
      </c>
    </row>
    <row r="2903" spans="1:7" ht="264" customHeight="1">
      <c r="A2903" s="2">
        <v>968</v>
      </c>
      <c r="B2903" s="3" t="s">
        <v>2203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8</v>
      </c>
    </row>
    <row r="2906" spans="1:7" ht="264" customHeight="1">
      <c r="A2906" s="2">
        <v>969</v>
      </c>
      <c r="B2906" s="3" t="s">
        <v>2204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8</v>
      </c>
    </row>
    <row r="2909" spans="1:7" ht="264" customHeight="1">
      <c r="A2909" s="2">
        <v>970</v>
      </c>
      <c r="B2909" s="3" t="s">
        <v>2205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8</v>
      </c>
    </row>
    <row r="2912" spans="1:7" ht="264" customHeight="1">
      <c r="A2912" s="2">
        <v>971</v>
      </c>
      <c r="B2912" s="3" t="s">
        <v>2206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8</v>
      </c>
    </row>
    <row r="2915" spans="1:7" ht="264" customHeight="1">
      <c r="A2915" s="2">
        <v>972</v>
      </c>
      <c r="B2915" s="3" t="s">
        <v>2207</v>
      </c>
      <c r="C2915">
        <f>IMAGE("https://raw.githubusercontent.com/stautonico/tcg-livingdex/main/images/972/1.png", 2)</f>
        <v>0</v>
      </c>
      <c r="D2915">
        <f>IMAGE("https://raw.githubusercontent.com/stautonico/tcg-livingdex/main/images/972/2.png", 2)</f>
        <v>0</v>
      </c>
      <c r="E2915">
        <f>IMAGE("https://raw.githubusercontent.com/stautonico/tcg-livingdex/main/images/972/3.png", 2)</f>
        <v>0</v>
      </c>
      <c r="F2915">
        <f>IMAGE("https://raw.githubusercontent.com/stautonico/tcg-livingdex/main/images/972/4.png", 2)</f>
        <v>0</v>
      </c>
      <c r="G2915" t="s">
        <v>9</v>
      </c>
    </row>
    <row r="2916" spans="1:7">
      <c r="C2916" s="4" t="s">
        <v>2208</v>
      </c>
      <c r="D2916" s="4" t="s">
        <v>2209</v>
      </c>
      <c r="E2916" s="4" t="s">
        <v>2210</v>
      </c>
      <c r="F2916" s="4" t="s">
        <v>2211</v>
      </c>
    </row>
    <row r="2918" spans="1:7" ht="264" customHeight="1">
      <c r="A2918" s="2">
        <v>973</v>
      </c>
      <c r="B2918" s="3" t="s">
        <v>2212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8</v>
      </c>
    </row>
    <row r="2921" spans="1:7" ht="264" customHeight="1">
      <c r="A2921" s="2">
        <v>974</v>
      </c>
      <c r="B2921" s="3" t="s">
        <v>2213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8</v>
      </c>
    </row>
    <row r="2924" spans="1:7" ht="264" customHeight="1">
      <c r="A2924" s="2">
        <v>975</v>
      </c>
      <c r="B2924" s="3" t="s">
        <v>2214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8</v>
      </c>
    </row>
    <row r="2927" spans="1:7" ht="264" customHeight="1">
      <c r="A2927" s="2">
        <v>976</v>
      </c>
      <c r="B2927" s="3" t="s">
        <v>2215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8</v>
      </c>
    </row>
    <row r="2930" spans="1:7" ht="264" customHeight="1">
      <c r="A2930" s="2">
        <v>977</v>
      </c>
      <c r="B2930" s="3" t="s">
        <v>2216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8</v>
      </c>
    </row>
    <row r="2933" spans="1:7" ht="264" customHeight="1">
      <c r="A2933" s="2">
        <v>978</v>
      </c>
      <c r="B2933" s="3" t="s">
        <v>2217</v>
      </c>
      <c r="C2933">
        <f>IMAGE("https://raw.githubusercontent.com/stautonico/tcg-livingdex/main/images/978/1.png", 2)</f>
        <v>0</v>
      </c>
      <c r="D2933">
        <f>IMAGE("https://raw.githubusercontent.com/stautonico/tcg-livingdex/main/images/978/2.png", 2)</f>
        <v>0</v>
      </c>
      <c r="E2933">
        <f>IMAGE("https://raw.githubusercontent.com/stautonico/tcg-livingdex/main/images/978/3.png", 2)</f>
        <v>0</v>
      </c>
      <c r="F2933">
        <f>IMAGE("https://raw.githubusercontent.com/stautonico/tcg-livingdex/main/images/978/4.png", 2)</f>
        <v>0</v>
      </c>
      <c r="G2933" t="s">
        <v>9</v>
      </c>
    </row>
    <row r="2934" spans="1:7">
      <c r="C2934" s="4" t="s">
        <v>2218</v>
      </c>
      <c r="D2934" s="4" t="s">
        <v>2219</v>
      </c>
      <c r="E2934" s="4" t="s">
        <v>2220</v>
      </c>
      <c r="F2934" s="4" t="s">
        <v>2221</v>
      </c>
    </row>
    <row r="2936" spans="1:7" ht="264" customHeight="1">
      <c r="A2936" s="2">
        <v>979</v>
      </c>
      <c r="B2936" s="3" t="s">
        <v>2222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8</v>
      </c>
    </row>
    <row r="2939" spans="1:7" ht="264" customHeight="1">
      <c r="A2939" s="2">
        <v>980</v>
      </c>
      <c r="B2939" s="3" t="s">
        <v>2223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8</v>
      </c>
    </row>
    <row r="2942" spans="1:7" ht="264" customHeight="1">
      <c r="A2942" s="2">
        <v>981</v>
      </c>
      <c r="B2942" s="3" t="s">
        <v>2224</v>
      </c>
      <c r="C2942">
        <f>IMAGE("https://raw.githubusercontent.com/stautonico/tcg-livingdex/main/images/981/1.png", 2)</f>
        <v>0</v>
      </c>
      <c r="D2942">
        <f>IMAGE("https://raw.githubusercontent.com/stautonico/tcg-livingdex/main/images/981/2.png", 2)</f>
        <v>0</v>
      </c>
      <c r="E2942">
        <f>IMAGE("https://raw.githubusercontent.com/stautonico/tcg-livingdex/main/images/981/3.png", 2)</f>
        <v>0</v>
      </c>
      <c r="F2942">
        <f>IMAGE("https://raw.githubusercontent.com/stautonico/tcg-livingdex/main/images/981/4.png", 2)</f>
        <v>0</v>
      </c>
      <c r="G2942" t="s">
        <v>9</v>
      </c>
    </row>
    <row r="2943" spans="1:7">
      <c r="C2943" s="4" t="s">
        <v>2225</v>
      </c>
      <c r="D2943" s="4" t="s">
        <v>2226</v>
      </c>
      <c r="E2943" s="4" t="s">
        <v>2227</v>
      </c>
      <c r="F2943" s="4" t="s">
        <v>2228</v>
      </c>
    </row>
    <row r="2945" spans="1:7" ht="264" customHeight="1">
      <c r="A2945" s="2">
        <v>982</v>
      </c>
      <c r="B2945" s="3" t="s">
        <v>2229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8</v>
      </c>
    </row>
    <row r="2948" spans="1:7" ht="264" customHeight="1">
      <c r="A2948" s="2">
        <v>983</v>
      </c>
      <c r="B2948" s="3" t="s">
        <v>2230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8</v>
      </c>
    </row>
    <row r="2951" spans="1:7" ht="264" customHeight="1">
      <c r="A2951" s="2">
        <v>984</v>
      </c>
      <c r="B2951" s="3" t="s">
        <v>2231</v>
      </c>
      <c r="C2951">
        <f>IMAGE("https://raw.githubusercontent.com/stautonico/tcg-livingdex/main/images/984/1.png", 2)</f>
        <v>0</v>
      </c>
      <c r="D2951">
        <f>IMAGE("https://raw.githubusercontent.com/stautonico/tcg-livingdex/main/images/984/2.png", 2)</f>
        <v>0</v>
      </c>
      <c r="E2951">
        <f>IMAGE("https://raw.githubusercontent.com/stautonico/tcg-livingdex/main/images/984/3.png", 2)</f>
        <v>0</v>
      </c>
      <c r="F2951">
        <f>IMAGE("https://raw.githubusercontent.com/stautonico/tcg-livingdex/main/images/984/4.png", 2)</f>
        <v>0</v>
      </c>
      <c r="G2951" t="s">
        <v>9</v>
      </c>
    </row>
    <row r="2952" spans="1:7">
      <c r="C2952" s="4" t="s">
        <v>2232</v>
      </c>
      <c r="D2952" s="4" t="s">
        <v>2233</v>
      </c>
      <c r="E2952" s="4" t="s">
        <v>2234</v>
      </c>
      <c r="F2952" s="4" t="s">
        <v>2235</v>
      </c>
    </row>
    <row r="2954" spans="1:7" ht="264" customHeight="1">
      <c r="A2954" s="2">
        <v>985</v>
      </c>
      <c r="B2954" s="3" t="s">
        <v>2236</v>
      </c>
      <c r="C2954">
        <f>IMAGE("https://raw.githubusercontent.com/stautonico/tcg-livingdex/main/images/985/1.png", 2)</f>
        <v>0</v>
      </c>
      <c r="D2954">
        <f>IMAGE("https://raw.githubusercontent.com/stautonico/tcg-livingdex/main/images/985/2.png", 2)</f>
        <v>0</v>
      </c>
      <c r="E2954">
        <f>IMAGE("https://raw.githubusercontent.com/stautonico/tcg-livingdex/main/images/985/3.png", 2)</f>
        <v>0</v>
      </c>
      <c r="F2954">
        <f>IMAGE("https://raw.githubusercontent.com/stautonico/tcg-livingdex/main/images/985/4.png", 2)</f>
        <v>0</v>
      </c>
      <c r="G2954" t="s">
        <v>9</v>
      </c>
    </row>
    <row r="2955" spans="1:7">
      <c r="C2955" s="4" t="s">
        <v>2237</v>
      </c>
      <c r="D2955" s="4" t="s">
        <v>2238</v>
      </c>
      <c r="E2955" s="4" t="s">
        <v>2239</v>
      </c>
      <c r="F2955" s="4" t="s">
        <v>2240</v>
      </c>
    </row>
    <row r="2957" spans="1:7" ht="264" customHeight="1">
      <c r="A2957" s="2">
        <v>986</v>
      </c>
      <c r="B2957" s="3" t="s">
        <v>2241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8</v>
      </c>
    </row>
    <row r="2960" spans="1:7" ht="264" customHeight="1">
      <c r="A2960" s="2">
        <v>987</v>
      </c>
      <c r="B2960" s="3" t="s">
        <v>2242</v>
      </c>
      <c r="C2960">
        <f>IMAGE("https://raw.githubusercontent.com/stautonico/tcg-livingdex/main/images/987/1.png", 2)</f>
        <v>0</v>
      </c>
      <c r="D2960">
        <f>IMAGE("https://raw.githubusercontent.com/stautonico/tcg-livingdex/main/images/987/2.png", 2)</f>
        <v>0</v>
      </c>
      <c r="G2960" t="s">
        <v>9</v>
      </c>
    </row>
    <row r="2961" spans="1:7">
      <c r="C2961" s="4" t="s">
        <v>2243</v>
      </c>
      <c r="D2961" s="4" t="s">
        <v>2244</v>
      </c>
    </row>
    <row r="2963" spans="1:7" ht="264" customHeight="1">
      <c r="A2963" s="2">
        <v>988</v>
      </c>
      <c r="B2963" s="3" t="s">
        <v>2245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8</v>
      </c>
    </row>
    <row r="2966" spans="1:7" ht="264" customHeight="1">
      <c r="A2966" s="2">
        <v>989</v>
      </c>
      <c r="B2966" s="3" t="s">
        <v>2246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8</v>
      </c>
    </row>
    <row r="2969" spans="1:7" ht="264" customHeight="1">
      <c r="A2969" s="2">
        <v>990</v>
      </c>
      <c r="B2969" s="3" t="s">
        <v>2247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8</v>
      </c>
    </row>
    <row r="2972" spans="1:7" ht="264" customHeight="1">
      <c r="A2972" s="2">
        <v>991</v>
      </c>
      <c r="B2972" s="3" t="s">
        <v>2248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8</v>
      </c>
    </row>
    <row r="2975" spans="1:7" ht="264" customHeight="1">
      <c r="A2975" s="2">
        <v>992</v>
      </c>
      <c r="B2975" s="3" t="s">
        <v>2249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8</v>
      </c>
    </row>
    <row r="2978" spans="1:7" ht="264" customHeight="1">
      <c r="A2978" s="2">
        <v>993</v>
      </c>
      <c r="B2978" s="3" t="s">
        <v>2250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8</v>
      </c>
    </row>
    <row r="2981" spans="1:7" ht="264" customHeight="1">
      <c r="A2981" s="2">
        <v>994</v>
      </c>
      <c r="B2981" s="3" t="s">
        <v>2251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8</v>
      </c>
    </row>
    <row r="2984" spans="1:7" ht="264" customHeight="1">
      <c r="A2984" s="2">
        <v>995</v>
      </c>
      <c r="B2984" s="3" t="s">
        <v>2252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8</v>
      </c>
    </row>
    <row r="2987" spans="1:7" ht="264" customHeight="1">
      <c r="A2987" s="2">
        <v>996</v>
      </c>
      <c r="B2987" s="3" t="s">
        <v>2253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8</v>
      </c>
    </row>
    <row r="2990" spans="1:7" ht="264" customHeight="1">
      <c r="A2990" s="2">
        <v>997</v>
      </c>
      <c r="B2990" s="3" t="s">
        <v>2254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8</v>
      </c>
    </row>
    <row r="2993" spans="1:7" ht="264" customHeight="1">
      <c r="A2993" s="2">
        <v>998</v>
      </c>
      <c r="B2993" s="3" t="s">
        <v>2255</v>
      </c>
      <c r="C2993">
        <f>IMAGE("https://raw.githubusercontent.com/stautonico/tcg-livingdex/main/images/998/1.png", 2)</f>
        <v>0</v>
      </c>
      <c r="D2993">
        <f>IMAGE("https://raw.githubusercontent.com/stautonico/tcg-livingdex/main/images/998/2.png", 2)</f>
        <v>0</v>
      </c>
      <c r="E2993">
        <f>IMAGE("https://raw.githubusercontent.com/stautonico/tcg-livingdex/main/images/998/3.png", 2)</f>
        <v>0</v>
      </c>
      <c r="F2993">
        <f>IMAGE("https://raw.githubusercontent.com/stautonico/tcg-livingdex/main/images/998/4.png", 2)</f>
        <v>0</v>
      </c>
      <c r="G2993" t="s">
        <v>9</v>
      </c>
    </row>
    <row r="2994" spans="1:7">
      <c r="C2994" s="4" t="s">
        <v>2256</v>
      </c>
      <c r="D2994" s="4" t="s">
        <v>2257</v>
      </c>
      <c r="E2994" s="4" t="s">
        <v>2258</v>
      </c>
      <c r="F2994" s="4" t="s">
        <v>2259</v>
      </c>
    </row>
    <row r="2996" spans="1:7" ht="264" customHeight="1">
      <c r="A2996" s="2">
        <v>999</v>
      </c>
      <c r="B2996" s="3" t="s">
        <v>2260</v>
      </c>
      <c r="C2996">
        <f>IMAGE("https://raw.githubusercontent.com/stautonico/tcg-livingdex/main/images/999/1.png", 2)</f>
        <v>0</v>
      </c>
      <c r="D2996">
        <f>IMAGE("https://raw.githubusercontent.com/stautonico/tcg-livingdex/main/images/999/2.png", 2)</f>
        <v>0</v>
      </c>
      <c r="E2996">
        <f>IMAGE("https://raw.githubusercontent.com/stautonico/tcg-livingdex/main/images/999/3.png", 2)</f>
        <v>0</v>
      </c>
      <c r="F2996">
        <f>IMAGE("https://raw.githubusercontent.com/stautonico/tcg-livingdex/main/images/999/4.png", 2)</f>
        <v>0</v>
      </c>
      <c r="G2996" t="s">
        <v>9</v>
      </c>
    </row>
    <row r="2997" spans="1:7">
      <c r="C2997" s="4" t="s">
        <v>2261</v>
      </c>
      <c r="D2997" s="4" t="s">
        <v>2262</v>
      </c>
      <c r="E2997" s="4" t="s">
        <v>2263</v>
      </c>
      <c r="F2997" s="4" t="s">
        <v>2264</v>
      </c>
    </row>
    <row r="2999" spans="1:7" ht="264" customHeight="1">
      <c r="A2999" s="2">
        <v>1000</v>
      </c>
      <c r="B2999" s="3" t="s">
        <v>2265</v>
      </c>
      <c r="C2999">
        <f>IMAGE("https://raw.githubusercontent.com/stautonico/tcg-livingdex/main/images/1000/1.png", 2)</f>
        <v>0</v>
      </c>
      <c r="D2999">
        <f>IMAGE("https://raw.githubusercontent.com/stautonico/tcg-livingdex/main/images/1000/2.png", 2)</f>
        <v>0</v>
      </c>
      <c r="E2999">
        <f>IMAGE("https://raw.githubusercontent.com/stautonico/tcg-livingdex/main/images/1000/3.png", 2)</f>
        <v>0</v>
      </c>
      <c r="F2999">
        <f>IMAGE("https://raw.githubusercontent.com/stautonico/tcg-livingdex/main/images/1000/4.png", 2)</f>
        <v>0</v>
      </c>
      <c r="G2999" t="s">
        <v>9</v>
      </c>
    </row>
    <row r="3000" spans="1:7">
      <c r="C3000" s="4" t="s">
        <v>2266</v>
      </c>
      <c r="D3000" s="4" t="s">
        <v>2267</v>
      </c>
      <c r="E3000" s="4" t="s">
        <v>2268</v>
      </c>
      <c r="F3000" s="4" t="s">
        <v>2269</v>
      </c>
    </row>
    <row r="3002" spans="1:7" ht="264" customHeight="1">
      <c r="A3002" s="2">
        <v>1001</v>
      </c>
      <c r="B3002" s="3" t="s">
        <v>2270</v>
      </c>
      <c r="C3002">
        <f>IMAGE("https://raw.githubusercontent.com/stautonico/tcg-livingdex/main/images/1001/1.png", 2)</f>
        <v>0</v>
      </c>
      <c r="D3002">
        <f>IMAGE("https://raw.githubusercontent.com/stautonico/tcg-livingdex/main/images/1001/2.png", 2)</f>
        <v>0</v>
      </c>
      <c r="E3002">
        <f>IMAGE("https://raw.githubusercontent.com/stautonico/tcg-livingdex/main/images/1001/3.png", 2)</f>
        <v>0</v>
      </c>
      <c r="F3002">
        <f>IMAGE("https://raw.githubusercontent.com/stautonico/tcg-livingdex/main/images/1001/4.png", 2)</f>
        <v>0</v>
      </c>
      <c r="G3002" t="s">
        <v>9</v>
      </c>
    </row>
    <row r="3003" spans="1:7">
      <c r="C3003" s="4" t="s">
        <v>2271</v>
      </c>
      <c r="D3003" s="4" t="s">
        <v>2272</v>
      </c>
      <c r="E3003" s="4" t="s">
        <v>2273</v>
      </c>
      <c r="F3003" s="4" t="s">
        <v>2274</v>
      </c>
    </row>
    <row r="3005" spans="1:7" ht="264" customHeight="1">
      <c r="A3005" s="2">
        <v>1002</v>
      </c>
      <c r="B3005" s="3" t="s">
        <v>2275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8</v>
      </c>
    </row>
    <row r="3008" spans="1:7" ht="264" customHeight="1">
      <c r="A3008" s="2">
        <v>1003</v>
      </c>
      <c r="B3008" s="3" t="s">
        <v>2276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8</v>
      </c>
    </row>
    <row r="3011" spans="1:7" ht="264" customHeight="1">
      <c r="A3011" s="2">
        <v>1004</v>
      </c>
      <c r="B3011" s="3" t="s">
        <v>2277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8</v>
      </c>
    </row>
    <row r="3014" spans="1:7" ht="264" customHeight="1">
      <c r="A3014" s="2">
        <v>1005</v>
      </c>
      <c r="B3014" s="3" t="s">
        <v>2278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8</v>
      </c>
    </row>
    <row r="3017" spans="1:7" ht="264" customHeight="1">
      <c r="A3017" s="2">
        <v>1006</v>
      </c>
      <c r="B3017" s="3" t="s">
        <v>2279</v>
      </c>
      <c r="C3017">
        <f>IMAGE("https://raw.githubusercontent.com/stautonico/tcg-livingdex/main/images/1006/1.png", 2)</f>
        <v>0</v>
      </c>
      <c r="D3017">
        <f>IMAGE("https://raw.githubusercontent.com/stautonico/tcg-livingdex/main/images/1006/2.png", 2)</f>
        <v>0</v>
      </c>
      <c r="E3017">
        <f>IMAGE("https://raw.githubusercontent.com/stautonico/tcg-livingdex/main/images/1006/3.png", 2)</f>
        <v>0</v>
      </c>
      <c r="F3017">
        <f>IMAGE("https://raw.githubusercontent.com/stautonico/tcg-livingdex/main/images/1006/4.png", 2)</f>
        <v>0</v>
      </c>
      <c r="G3017" t="s">
        <v>9</v>
      </c>
    </row>
    <row r="3018" spans="1:7">
      <c r="C3018" s="4" t="s">
        <v>2280</v>
      </c>
      <c r="D3018" s="4" t="s">
        <v>2281</v>
      </c>
      <c r="E3018" s="4" t="s">
        <v>2282</v>
      </c>
      <c r="F3018" s="4" t="s">
        <v>2283</v>
      </c>
    </row>
    <row r="3020" spans="1:7" ht="264" customHeight="1">
      <c r="A3020" s="2">
        <v>1007</v>
      </c>
      <c r="B3020" s="3" t="s">
        <v>2284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8</v>
      </c>
    </row>
    <row r="3023" spans="1:7" ht="264" customHeight="1">
      <c r="A3023" s="2">
        <v>1008</v>
      </c>
      <c r="B3023" s="3" t="s">
        <v>2285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8</v>
      </c>
    </row>
    <row r="3026" spans="1:7" ht="264" customHeight="1">
      <c r="A3026" s="2">
        <v>1009</v>
      </c>
      <c r="B3026" s="3" t="s">
        <v>2286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8</v>
      </c>
    </row>
    <row r="3029" spans="1:7" ht="264" customHeight="1">
      <c r="A3029" s="2">
        <v>1010</v>
      </c>
      <c r="B3029" s="3" t="s">
        <v>2287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8</v>
      </c>
    </row>
    <row r="3032" spans="1:7" ht="264" customHeight="1">
      <c r="A3032" s="2">
        <v>1011</v>
      </c>
      <c r="B3032" s="3" t="s">
        <v>2288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2289</v>
      </c>
    </row>
    <row r="3035" spans="1:7" ht="264" customHeight="1">
      <c r="A3035" s="2">
        <v>1012</v>
      </c>
      <c r="B3035" s="3" t="s">
        <v>2290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8</v>
      </c>
    </row>
    <row r="3038" spans="1:7" ht="264" customHeight="1">
      <c r="A3038" s="2">
        <v>1013</v>
      </c>
      <c r="B3038" s="3" t="s">
        <v>2291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8</v>
      </c>
    </row>
    <row r="3041" spans="1:7" ht="264" customHeight="1">
      <c r="A3041" s="2">
        <v>1014</v>
      </c>
      <c r="B3041" s="3" t="s">
        <v>2292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8</v>
      </c>
    </row>
    <row r="3044" spans="1:7" ht="264" customHeight="1">
      <c r="A3044" s="2">
        <v>1015</v>
      </c>
      <c r="B3044" s="3" t="s">
        <v>2293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8</v>
      </c>
    </row>
    <row r="3047" spans="1:7" ht="264" customHeight="1">
      <c r="A3047" s="2">
        <v>1016</v>
      </c>
      <c r="B3047" s="3" t="s">
        <v>2294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8</v>
      </c>
    </row>
    <row r="3050" spans="1:7" ht="264" customHeight="1">
      <c r="A3050" s="2">
        <v>1017</v>
      </c>
      <c r="B3050" s="3" t="s">
        <v>2295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8</v>
      </c>
    </row>
    <row r="3053" spans="1:7" ht="264" customHeight="1">
      <c r="A3053" s="2">
        <v>1018</v>
      </c>
      <c r="B3053" s="3" t="s">
        <v>2296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8</v>
      </c>
    </row>
    <row r="3056" spans="1:7" ht="264" customHeight="1">
      <c r="A3056" s="2">
        <v>1019</v>
      </c>
      <c r="B3056" s="3" t="s">
        <v>2297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8</v>
      </c>
    </row>
    <row r="3059" spans="1:7" ht="264" customHeight="1">
      <c r="A3059" s="2">
        <v>1020</v>
      </c>
      <c r="B3059" s="3" t="s">
        <v>2298</v>
      </c>
      <c r="C3059">
        <f>IMAGE("https://raw.githubusercontent.com/stautonico/tcg-livingdex/main/images/1020/1.png", 2)</f>
        <v>0</v>
      </c>
      <c r="D3059">
        <f>IMAGE("https://raw.githubusercontent.com/stautonico/tcg-livingdex/main/images/1020/2.png", 2)</f>
        <v>0</v>
      </c>
      <c r="E3059">
        <f>IMAGE("https://raw.githubusercontent.com/stautonico/tcg-livingdex/main/images/1020/3.png", 2)</f>
        <v>0</v>
      </c>
      <c r="F3059">
        <f>IMAGE("https://raw.githubusercontent.com/stautonico/tcg-livingdex/main/images/1020/4.png", 2)</f>
        <v>0</v>
      </c>
      <c r="G3059" t="s">
        <v>9</v>
      </c>
    </row>
    <row r="3060" spans="1:7">
      <c r="C3060" s="4" t="s">
        <v>2299</v>
      </c>
      <c r="D3060" s="4" t="s">
        <v>2300</v>
      </c>
      <c r="E3060" s="4" t="s">
        <v>2301</v>
      </c>
      <c r="F3060" s="4" t="s">
        <v>2302</v>
      </c>
    </row>
    <row r="3062" spans="1:7" ht="264" customHeight="1">
      <c r="A3062" s="2">
        <v>1021</v>
      </c>
      <c r="B3062" s="3" t="s">
        <v>2303</v>
      </c>
      <c r="C3062">
        <f>IMAGE("https://raw.githubusercontent.com/stautonico/tcg-livingdex/main/images/1021/1.png", 2)</f>
        <v>0</v>
      </c>
      <c r="D3062">
        <f>IMAGE("https://raw.githubusercontent.com/stautonico/tcg-livingdex/main/images/1021/2.png", 2)</f>
        <v>0</v>
      </c>
      <c r="E3062">
        <f>IMAGE("https://raw.githubusercontent.com/stautonico/tcg-livingdex/main/images/1021/3.png", 2)</f>
        <v>0</v>
      </c>
      <c r="F3062">
        <f>IMAGE("https://raw.githubusercontent.com/stautonico/tcg-livingdex/main/images/1021/4.png", 2)</f>
        <v>0</v>
      </c>
      <c r="G3062" t="s">
        <v>9</v>
      </c>
    </row>
    <row r="3063" spans="1:7">
      <c r="C3063" s="4" t="s">
        <v>2304</v>
      </c>
      <c r="D3063" s="4" t="s">
        <v>2305</v>
      </c>
      <c r="E3063" s="4" t="s">
        <v>2306</v>
      </c>
      <c r="F3063" s="4" t="s">
        <v>2307</v>
      </c>
    </row>
    <row r="3065" spans="1:7" ht="264" customHeight="1">
      <c r="A3065" s="2">
        <v>1022</v>
      </c>
      <c r="B3065" s="3" t="s">
        <v>2308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8</v>
      </c>
    </row>
    <row r="3068" spans="1:7" ht="264" customHeight="1">
      <c r="A3068" s="2">
        <v>1023</v>
      </c>
      <c r="B3068" s="3" t="s">
        <v>2309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8</v>
      </c>
    </row>
    <row r="3071" spans="1:7" ht="264" customHeight="1">
      <c r="A3071" s="2">
        <v>1024</v>
      </c>
      <c r="B3071" s="3" t="s">
        <v>2310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8</v>
      </c>
    </row>
    <row r="3074" spans="1:7" ht="264" customHeight="1">
      <c r="A3074" s="2">
        <v>1025</v>
      </c>
      <c r="B3074" s="3" t="s">
        <v>2311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8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2024-07-17T23:43:41Z</dcterms:created>
  <dcterms:modified xsi:type="dcterms:W3CDTF">2024-07-17T23:43:41Z</dcterms:modified>
</cp:coreProperties>
</file>