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Никита\Desktop\IBS\VuGen\AppLine_LoadRunner\Документация\"/>
    </mc:Choice>
  </mc:AlternateContent>
  <xr:revisionPtr revIDLastSave="0" documentId="13_ncr:1_{2B5BB715-31DD-4593-891B-B713EC1AF763}" xr6:coauthVersionLast="45" xr6:coauthVersionMax="45" xr10:uidLastSave="{00000000-0000-0000-0000-000000000000}"/>
  <bookViews>
    <workbookView xWindow="-120" yWindow="480" windowWidth="29040" windowHeight="15840" firstSheet="1" activeTab="5" xr2:uid="{00000000-000D-0000-FFFF-FFFF00000000}"/>
  </bookViews>
  <sheets>
    <sheet name="Ручной расчет" sheetId="1" r:id="rId1"/>
    <sheet name="Лист1" sheetId="4" r:id="rId2"/>
    <sheet name="Лист2" sheetId="5" r:id="rId3"/>
    <sheet name="Лист3" sheetId="6" r:id="rId4"/>
    <sheet name="Лист4" sheetId="7" r:id="rId5"/>
    <sheet name="Автоматизированный расчет" sheetId="3" r:id="rId6"/>
    <sheet name="Соответствие профилю (old)" sheetId="2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3" l="1"/>
  <c r="L29" i="3"/>
  <c r="L30" i="3"/>
  <c r="L31" i="3"/>
  <c r="L32" i="3"/>
  <c r="L33" i="3"/>
  <c r="G26" i="2" l="1"/>
  <c r="B34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D4" i="3"/>
  <c r="D5" i="3"/>
  <c r="C33" i="3"/>
  <c r="G33" i="3" l="1"/>
  <c r="D2" i="3"/>
  <c r="F33" i="3" l="1"/>
  <c r="I33" i="3"/>
  <c r="P3" i="3"/>
  <c r="Q3" i="3" s="1"/>
  <c r="P4" i="3"/>
  <c r="Q4" i="3" s="1"/>
  <c r="P5" i="3"/>
  <c r="Q5" i="3" s="1"/>
  <c r="P6" i="3"/>
  <c r="Q6" i="3" s="1"/>
  <c r="G2" i="3"/>
  <c r="E15" i="3" l="1"/>
  <c r="E12" i="3"/>
  <c r="E13" i="3"/>
  <c r="E14" i="3"/>
  <c r="E11" i="3"/>
  <c r="E8" i="3"/>
  <c r="E9" i="3"/>
  <c r="E10" i="3"/>
  <c r="E23" i="3"/>
  <c r="E21" i="3"/>
  <c r="E22" i="3"/>
  <c r="E19" i="3"/>
  <c r="E16" i="3"/>
  <c r="E20" i="3"/>
  <c r="E17" i="3"/>
  <c r="E18" i="3"/>
  <c r="I28" i="1"/>
  <c r="P2" i="3"/>
  <c r="Q2" i="3" s="1"/>
  <c r="P22" i="1"/>
  <c r="L10" i="1"/>
  <c r="L11" i="1"/>
  <c r="L12" i="1"/>
  <c r="L13" i="1"/>
  <c r="L14" i="1"/>
  <c r="L15" i="1"/>
  <c r="L9" i="1"/>
  <c r="K15" i="1"/>
  <c r="K14" i="1"/>
  <c r="K13" i="1"/>
  <c r="K12" i="1"/>
  <c r="K11" i="1"/>
  <c r="K10" i="1"/>
  <c r="K9" i="1"/>
  <c r="W2" i="3"/>
  <c r="V2" i="3" s="1"/>
  <c r="S6" i="3"/>
  <c r="S5" i="3"/>
  <c r="S4" i="3"/>
  <c r="S3" i="3"/>
  <c r="C31" i="3"/>
  <c r="C32" i="3"/>
  <c r="C27" i="3"/>
  <c r="C29" i="3"/>
  <c r="C28" i="3"/>
  <c r="C30" i="3"/>
  <c r="G30" i="3" l="1"/>
  <c r="G28" i="3"/>
  <c r="G29" i="3"/>
  <c r="G27" i="3"/>
  <c r="G32" i="3"/>
  <c r="G31" i="3"/>
  <c r="F21" i="3"/>
  <c r="H21" i="3" s="1"/>
  <c r="F22" i="3"/>
  <c r="H22" i="3" s="1"/>
  <c r="F23" i="3"/>
  <c r="H23" i="3" s="1"/>
  <c r="F16" i="3"/>
  <c r="H16" i="3" s="1"/>
  <c r="F20" i="3"/>
  <c r="H20" i="3" s="1"/>
  <c r="F17" i="3"/>
  <c r="H17" i="3" s="1"/>
  <c r="F18" i="3"/>
  <c r="H18" i="3" s="1"/>
  <c r="F19" i="3"/>
  <c r="H19" i="3" s="1"/>
  <c r="F8" i="3"/>
  <c r="H8" i="3" s="1"/>
  <c r="F9" i="3"/>
  <c r="H9" i="3" s="1"/>
  <c r="F10" i="3"/>
  <c r="H10" i="3" s="1"/>
  <c r="F11" i="3"/>
  <c r="H11" i="3" s="1"/>
  <c r="S2" i="3"/>
  <c r="E3" i="3"/>
  <c r="E7" i="3"/>
  <c r="E4" i="3"/>
  <c r="E5" i="3"/>
  <c r="E6" i="3"/>
  <c r="F12" i="3"/>
  <c r="H12" i="3" s="1"/>
  <c r="F13" i="3"/>
  <c r="H13" i="3" s="1"/>
  <c r="F14" i="3"/>
  <c r="H14" i="3" s="1"/>
  <c r="F15" i="3"/>
  <c r="H15" i="3" s="1"/>
  <c r="U6" i="3"/>
  <c r="E2" i="3"/>
  <c r="U5" i="3"/>
  <c r="U3" i="3"/>
  <c r="U4" i="3"/>
  <c r="F2" i="3"/>
  <c r="D30" i="3"/>
  <c r="D31" i="3"/>
  <c r="D28" i="3"/>
  <c r="D33" i="3"/>
  <c r="D29" i="3"/>
  <c r="D32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F27" i="3" l="1"/>
  <c r="L27" i="3" s="1"/>
  <c r="I27" i="3"/>
  <c r="U2" i="3"/>
  <c r="F4" i="3"/>
  <c r="H4" i="3" s="1"/>
  <c r="F5" i="3"/>
  <c r="H5" i="3" s="1"/>
  <c r="F6" i="3"/>
  <c r="H6" i="3" s="1"/>
  <c r="F3" i="3"/>
  <c r="H3" i="3" s="1"/>
  <c r="F7" i="3"/>
  <c r="H7" i="3" s="1"/>
  <c r="F29" i="3"/>
  <c r="I29" i="3"/>
  <c r="F31" i="3"/>
  <c r="I31" i="3"/>
  <c r="F28" i="3"/>
  <c r="I28" i="3"/>
  <c r="U7" i="3"/>
  <c r="F32" i="3"/>
  <c r="I32" i="3"/>
  <c r="F30" i="3"/>
  <c r="I30" i="3"/>
  <c r="H2" i="3"/>
  <c r="V7" i="3"/>
  <c r="I40" i="2"/>
  <c r="I44" i="2"/>
  <c r="I41" i="2"/>
  <c r="I32" i="2"/>
  <c r="I31" i="2"/>
  <c r="I30" i="2"/>
  <c r="I29" i="2"/>
  <c r="I28" i="2"/>
  <c r="I27" i="2"/>
  <c r="I26" i="2"/>
  <c r="I34" i="3" l="1"/>
  <c r="J28" i="1"/>
  <c r="K28" i="1"/>
  <c r="L28" i="1"/>
  <c r="M28" i="1"/>
  <c r="N28" i="1"/>
  <c r="O28" i="1"/>
  <c r="L39" i="1" l="1"/>
  <c r="L40" i="1"/>
  <c r="L41" i="1"/>
  <c r="L42" i="1"/>
  <c r="L38" i="1"/>
  <c r="P24" i="1" l="1"/>
  <c r="P23" i="1"/>
  <c r="P26" i="1" l="1"/>
  <c r="P27" i="1"/>
  <c r="P25" i="1" l="1"/>
  <c r="P28" i="1" l="1"/>
  <c r="C34" i="3" l="1"/>
  <c r="D34" i="3" s="1"/>
  <c r="D27" i="3"/>
</calcChain>
</file>

<file path=xl/sharedStrings.xml><?xml version="1.0" encoding="utf-8"?>
<sst xmlns="http://schemas.openxmlformats.org/spreadsheetml/2006/main" count="280" uniqueCount="80">
  <si>
    <t>N</t>
  </si>
  <si>
    <t>Операция</t>
  </si>
  <si>
    <t>Кол-во/час пиковой нагрузки</t>
  </si>
  <si>
    <t>Процент в профиле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</si>
  <si>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</si>
  <si>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</si>
  <si>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</si>
  <si>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</si>
  <si>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</si>
  <si>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</si>
  <si>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</si>
  <si>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</si>
  <si>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Операции и статистика</t>
  </si>
  <si>
    <t>Название сценария</t>
  </si>
  <si>
    <t>Покупка билета</t>
  </si>
  <si>
    <t xml:space="preserve">Удаление бронирования 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</si>
  <si>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</si>
  <si>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</si>
  <si>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</si>
  <si>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</si>
  <si>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</si>
  <si>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Название операции</t>
  </si>
  <si>
    <t>Итого:</t>
  </si>
  <si>
    <t>Время между итерациями, с</t>
  </si>
  <si>
    <t>Количество ВП</t>
  </si>
  <si>
    <t>Интенсивность, оп/ч Необходимая</t>
  </si>
  <si>
    <t>Интенсивность рассчет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</si>
  <si>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</si>
  <si>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</si>
  <si>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</si>
  <si>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</si>
  <si>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</si>
  <si>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</si>
  <si>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</si>
  <si>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</si>
  <si>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</si>
  <si>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</si>
  <si>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</si>
  <si>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</si>
  <si>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</si>
  <si>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</si>
  <si>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</si>
  <si>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</si>
  <si>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</si>
  <si>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</si>
  <si>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</si>
  <si>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</si>
  <si>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</si>
  <si>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</si>
  <si>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</si>
  <si>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</si>
  <si>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</si>
  <si>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</si>
  <si>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</si>
  <si>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</si>
  <si>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</si>
  <si>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</si>
  <si>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</si>
  <si>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</si>
  <si>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</si>
  <si>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</si>
  <si>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</si>
  <si>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</si>
  <si>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</si>
  <si>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</si>
  <si>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</si>
  <si>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</si>
  <si>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</si>
  <si>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</si>
  <si>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</si>
  <si>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</si>
  <si>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</si>
  <si>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</si>
  <si>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Апрель</t>
  </si>
  <si>
    <t>% отклонения от исх. Статистики</t>
  </si>
  <si>
    <t>Фактическая интенсивность по запросам</t>
  </si>
  <si>
    <t>% отклонения от профиля</t>
  </si>
  <si>
    <t>После внесения изменений в таблице справа не забывайте обновлять сводную таблицу</t>
  </si>
  <si>
    <t>Проверка брони</t>
  </si>
  <si>
    <r>
      <t>Профильь запросов/</t>
    </r>
    <r>
      <rPr>
        <b/>
        <i/>
        <u/>
        <sz val="14"/>
        <rFont val="Times New Roman"/>
        <family val="1"/>
      </rPr>
      <t>20 мин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</si>
</sst>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sz val="14"/>
      <name val="Times New Roman"/>
      <family val="1"/>
    </font>
    <font>
      <b/>
      <i/>
      <u/>
      <sz val="14"/>
      <name val="Times New Roman"/>
      <family val="1"/>
    </font>
    <font>
      <sz val="12"/>
      <color theme="1"/>
      <name val="Times New Roman"/>
      <family val="1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6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12" applyNumberFormat="0" applyAlignment="0" applyProtection="0"/>
    <xf numFmtId="0" fontId="18" fillId="7" borderId="13" applyNumberFormat="0" applyAlignment="0" applyProtection="0"/>
    <xf numFmtId="0" fontId="19" fillId="7" borderId="12" applyNumberFormat="0" applyAlignment="0" applyProtection="0"/>
    <xf numFmtId="0" fontId="20" fillId="0" borderId="14" applyNumberFormat="0" applyFill="0" applyAlignment="0" applyProtection="0"/>
    <xf numFmtId="0" fontId="21" fillId="8" borderId="15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7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9" fontId="25" fillId="0" borderId="0" applyFont="0" applyFill="0" applyBorder="0" applyAlignment="0" applyProtection="0"/>
  </cellStyleXfs>
  <cellXfs count="10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6" xfId="0" applyBorder="1"/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4" borderId="4" xfId="3" applyBorder="1" applyAlignment="1">
      <alignment horizontal="center" vertical="center" wrapText="1"/>
    </xf>
    <xf numFmtId="0" fontId="7" fillId="3" borderId="4" xfId="2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top" wrapText="1"/>
    </xf>
    <xf numFmtId="0" fontId="11" fillId="0" borderId="8" xfId="0" applyFont="1" applyBorder="1" applyAlignment="1">
      <alignment horizontal="left" vertical="top" wrapText="1"/>
    </xf>
    <xf numFmtId="0" fontId="9" fillId="0" borderId="8" xfId="4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10" fontId="10" fillId="0" borderId="8" xfId="0" applyNumberFormat="1" applyFont="1" applyBorder="1" applyAlignment="1">
      <alignment horizontal="center" vertical="top"/>
    </xf>
    <xf numFmtId="10" fontId="12" fillId="0" borderId="8" xfId="0" applyNumberFormat="1" applyFont="1" applyBorder="1" applyAlignment="1">
      <alignment horizontal="center" vertical="top"/>
    </xf>
    <xf numFmtId="10" fontId="12" fillId="0" borderId="8" xfId="0" applyNumberFormat="1" applyFont="1" applyBorder="1" applyAlignment="1">
      <alignment horizontal="left" vertical="top"/>
    </xf>
    <xf numFmtId="0" fontId="10" fillId="5" borderId="8" xfId="0" applyFont="1" applyFill="1" applyBorder="1" applyAlignment="1">
      <alignment horizontal="left" vertical="top"/>
    </xf>
    <xf numFmtId="0" fontId="1" fillId="0" borderId="8" xfId="42" applyBorder="1"/>
    <xf numFmtId="0" fontId="10" fillId="0" borderId="8" xfId="0" applyFont="1" applyBorder="1" applyAlignment="1">
      <alignment horizontal="left" vertical="top"/>
    </xf>
    <xf numFmtId="10" fontId="10" fillId="0" borderId="8" xfId="0" applyNumberFormat="1" applyFont="1" applyBorder="1" applyAlignment="1">
      <alignment horizontal="left" vertical="top"/>
    </xf>
    <xf numFmtId="0" fontId="9" fillId="0" borderId="8" xfId="4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8" xfId="0" applyFill="1" applyBorder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0" fontId="6" fillId="0" borderId="0" xfId="1" applyFill="1"/>
    <xf numFmtId="0" fontId="0" fillId="0" borderId="0" xfId="0" applyFill="1"/>
    <xf numFmtId="0" fontId="3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8" xfId="0" applyFont="1" applyBorder="1"/>
    <xf numFmtId="0" fontId="0" fillId="0" borderId="8" xfId="0" applyBorder="1"/>
    <xf numFmtId="9" fontId="3" fillId="0" borderId="8" xfId="44" applyFont="1" applyBorder="1" applyAlignment="1">
      <alignment horizontal="left" vertical="center" wrapText="1"/>
    </xf>
    <xf numFmtId="1" fontId="3" fillId="0" borderId="8" xfId="0" applyNumberFormat="1" applyFont="1" applyBorder="1" applyAlignment="1">
      <alignment horizontal="left" vertical="center" wrapText="1"/>
    </xf>
    <xf numFmtId="1" fontId="26" fillId="35" borderId="8" xfId="0" applyNumberFormat="1" applyFont="1" applyFill="1" applyBorder="1" applyAlignment="1">
      <alignment horizontal="left" vertical="center" wrapText="1"/>
    </xf>
    <xf numFmtId="0" fontId="0" fillId="36" borderId="8" xfId="0" applyFill="1" applyBorder="1"/>
    <xf numFmtId="0" fontId="27" fillId="0" borderId="0" xfId="0" applyFont="1"/>
    <xf numFmtId="1" fontId="27" fillId="0" borderId="0" xfId="0" applyNumberFormat="1" applyFont="1"/>
    <xf numFmtId="9" fontId="27" fillId="0" borderId="0" xfId="0" applyNumberFormat="1" applyFont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27" fillId="0" borderId="8" xfId="0" applyFont="1" applyFill="1" applyBorder="1"/>
    <xf numFmtId="0" fontId="28" fillId="35" borderId="8" xfId="0" applyFont="1" applyFill="1" applyBorder="1" applyAlignment="1">
      <alignment horizontal="left" vertical="center" wrapText="1"/>
    </xf>
    <xf numFmtId="9" fontId="0" fillId="0" borderId="0" xfId="0" applyNumberFormat="1"/>
    <xf numFmtId="0" fontId="0" fillId="36" borderId="21" xfId="0" applyFill="1" applyBorder="1"/>
    <xf numFmtId="0" fontId="0" fillId="36" borderId="22" xfId="0" applyFill="1" applyBorder="1"/>
    <xf numFmtId="0" fontId="27" fillId="36" borderId="22" xfId="0" applyFont="1" applyFill="1" applyBorder="1"/>
    <xf numFmtId="0" fontId="27" fillId="36" borderId="23" xfId="0" applyFont="1" applyFill="1" applyBorder="1"/>
    <xf numFmtId="0" fontId="0" fillId="0" borderId="24" xfId="0" applyBorder="1"/>
    <xf numFmtId="2" fontId="0" fillId="0" borderId="0" xfId="0" applyNumberFormat="1" applyBorder="1"/>
    <xf numFmtId="1" fontId="27" fillId="0" borderId="0" xfId="0" applyNumberFormat="1" applyFont="1" applyBorder="1"/>
    <xf numFmtId="9" fontId="27" fillId="0" borderId="0" xfId="0" applyNumberFormat="1" applyFont="1" applyBorder="1"/>
    <xf numFmtId="0" fontId="27" fillId="0" borderId="6" xfId="0" applyFont="1" applyBorder="1"/>
    <xf numFmtId="0" fontId="0" fillId="0" borderId="25" xfId="0" applyBorder="1"/>
    <xf numFmtId="0" fontId="0" fillId="35" borderId="26" xfId="0" applyFill="1" applyBorder="1"/>
    <xf numFmtId="0" fontId="0" fillId="0" borderId="26" xfId="0" applyBorder="1"/>
    <xf numFmtId="2" fontId="0" fillId="0" borderId="5" xfId="0" applyNumberFormat="1" applyBorder="1"/>
    <xf numFmtId="0" fontId="27" fillId="0" borderId="26" xfId="0" applyFont="1" applyFill="1" applyBorder="1"/>
    <xf numFmtId="1" fontId="27" fillId="0" borderId="5" xfId="0" applyNumberFormat="1" applyFont="1" applyBorder="1"/>
    <xf numFmtId="9" fontId="27" fillId="0" borderId="5" xfId="0" applyNumberFormat="1" applyFont="1" applyBorder="1"/>
    <xf numFmtId="0" fontId="27" fillId="0" borderId="4" xfId="0" applyFont="1" applyBorder="1"/>
    <xf numFmtId="0" fontId="0" fillId="35" borderId="7" xfId="0" applyFill="1" applyBorder="1"/>
    <xf numFmtId="0" fontId="0" fillId="35" borderId="27" xfId="0" applyFill="1" applyBorder="1"/>
    <xf numFmtId="0" fontId="0" fillId="35" borderId="28" xfId="0" applyFill="1" applyBorder="1"/>
    <xf numFmtId="0" fontId="0" fillId="35" borderId="0" xfId="0" applyFill="1" applyBorder="1"/>
    <xf numFmtId="0" fontId="0" fillId="35" borderId="29" xfId="0" applyFill="1" applyBorder="1"/>
    <xf numFmtId="0" fontId="0" fillId="5" borderId="28" xfId="0" applyFill="1" applyBorder="1"/>
    <xf numFmtId="0" fontId="0" fillId="5" borderId="20" xfId="0" applyFill="1" applyBorder="1"/>
    <xf numFmtId="0" fontId="0" fillId="35" borderId="30" xfId="0" applyFill="1" applyBorder="1"/>
    <xf numFmtId="0" fontId="0" fillId="35" borderId="31" xfId="0" applyFill="1" applyBorder="1"/>
    <xf numFmtId="0" fontId="0" fillId="0" borderId="32" xfId="0" applyBorder="1"/>
    <xf numFmtId="0" fontId="5" fillId="0" borderId="5" xfId="0" applyFont="1" applyBorder="1" applyAlignment="1">
      <alignment horizontal="left"/>
    </xf>
    <xf numFmtId="0" fontId="5" fillId="37" borderId="21" xfId="0" applyFont="1" applyFill="1" applyBorder="1" applyAlignment="1">
      <alignment horizontal="center" wrapText="1"/>
    </xf>
    <xf numFmtId="0" fontId="5" fillId="37" borderId="23" xfId="0" applyFont="1" applyFill="1" applyBorder="1" applyAlignment="1">
      <alignment horizontal="center" wrapText="1"/>
    </xf>
    <xf numFmtId="0" fontId="5" fillId="37" borderId="24" xfId="0" applyFont="1" applyFill="1" applyBorder="1" applyAlignment="1">
      <alignment horizontal="center" wrapText="1"/>
    </xf>
    <xf numFmtId="0" fontId="5" fillId="37" borderId="6" xfId="0" applyFont="1" applyFill="1" applyBorder="1" applyAlignment="1">
      <alignment horizontal="center" wrapText="1"/>
    </xf>
    <xf numFmtId="0" fontId="5" fillId="37" borderId="25" xfId="0" applyFont="1" applyFill="1" applyBorder="1" applyAlignment="1">
      <alignment horizontal="center" wrapText="1"/>
    </xf>
    <xf numFmtId="0" fontId="5" fillId="37" borderId="4" xfId="0" applyFont="1" applyFill="1" applyBorder="1" applyAlignment="1">
      <alignment horizontal="center" wrapText="1"/>
    </xf>
    <xf numFmtId="0" fontId="0" fillId="34" borderId="0" xfId="0" applyFill="1" applyAlignment="1">
      <alignment horizontal="center"/>
    </xf>
    <xf numFmtId="0" fontId="30" fillId="0" borderId="33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left" vertical="center" wrapText="1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3" xfId="42" xr:uid="{38AB8912-B8DB-4975-BF95-24BAE8E9314A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икита" refreshedDate="44042.696447222224" createdVersion="6" refreshedVersion="6" minRefreshableVersion="3" recordCount="22" xr:uid="{849ED774-79A0-8640-B03A-801DA7FF34DA}">
  <cacheSource type="worksheet">
    <worksheetSource ref="A1:H23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6" maxValue="80"/>
    </cacheField>
    <cacheField name="одним пользователем в минуту" numFmtId="2">
      <sharedItems containsSemiMixedTypes="0" containsString="0" containsNumber="1" minValue="0.75" maxValue="1.6666666666666667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78.26086956521739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Покупка билета"/>
    <x v="0"/>
    <n v="1"/>
    <n v="3"/>
    <n v="80"/>
    <n v="0.75"/>
    <n v="60"/>
    <n v="135"/>
  </r>
  <r>
    <s v="Покупка билета"/>
    <x v="1"/>
    <n v="1"/>
    <n v="3"/>
    <n v="80"/>
    <n v="0.75"/>
    <n v="60"/>
    <n v="135"/>
  </r>
  <r>
    <s v="Покупка билета"/>
    <x v="2"/>
    <n v="1"/>
    <n v="3"/>
    <n v="80"/>
    <n v="0.75"/>
    <n v="60"/>
    <n v="135"/>
  </r>
  <r>
    <s v="Покупка билета"/>
    <x v="3"/>
    <n v="1"/>
    <n v="3"/>
    <n v="80"/>
    <n v="0.75"/>
    <n v="60"/>
    <n v="135"/>
  </r>
  <r>
    <s v="Покупка билета"/>
    <x v="4"/>
    <n v="1"/>
    <n v="3"/>
    <n v="80"/>
    <n v="0.75"/>
    <n v="60"/>
    <n v="135"/>
  </r>
  <r>
    <s v="Покупка билета"/>
    <x v="5"/>
    <n v="1"/>
    <n v="3"/>
    <n v="80"/>
    <n v="0.75"/>
    <n v="60"/>
    <n v="135"/>
  </r>
  <r>
    <s v="Удаление бронирования "/>
    <x v="0"/>
    <n v="1"/>
    <n v="1"/>
    <n v="46"/>
    <n v="1.3043478260869565"/>
    <n v="60"/>
    <n v="78.260869565217391"/>
  </r>
  <r>
    <s v="Удаление бронирования "/>
    <x v="4"/>
    <n v="1"/>
    <n v="1"/>
    <n v="46"/>
    <n v="1.3043478260869565"/>
    <n v="60"/>
    <n v="78.260869565217391"/>
  </r>
  <r>
    <s v="Удаление бронирования "/>
    <x v="6"/>
    <n v="1"/>
    <n v="1"/>
    <n v="46"/>
    <n v="1.3043478260869565"/>
    <n v="60"/>
    <n v="78.260869565217391"/>
  </r>
  <r>
    <s v="Удаление бронирования "/>
    <x v="5"/>
    <n v="1"/>
    <n v="1"/>
    <n v="46"/>
    <n v="1.3043478260869565"/>
    <n v="60"/>
    <n v="78.260869565217391"/>
  </r>
  <r>
    <s v="Поиск билета без оплаты"/>
    <x v="0"/>
    <n v="1"/>
    <n v="2"/>
    <n v="58"/>
    <n v="1.0344827586206897"/>
    <n v="60"/>
    <n v="124.13793103448276"/>
  </r>
  <r>
    <s v="Поиск билета без оплаты"/>
    <x v="1"/>
    <n v="1"/>
    <n v="2"/>
    <n v="58"/>
    <n v="1.0344827586206897"/>
    <n v="60"/>
    <n v="124.13793103448276"/>
  </r>
  <r>
    <s v="Поиск билета без оплаты"/>
    <x v="2"/>
    <n v="1"/>
    <n v="2"/>
    <n v="58"/>
    <n v="1.0344827586206897"/>
    <n v="60"/>
    <n v="124.13793103448276"/>
  </r>
  <r>
    <s v="Поиск билета без оплаты"/>
    <x v="5"/>
    <n v="1"/>
    <n v="2"/>
    <n v="58"/>
    <n v="1.0344827586206897"/>
    <n v="60"/>
    <n v="124.13793103448276"/>
  </r>
  <r>
    <s v="Покупка билета (без просмотра квитанции)"/>
    <x v="0"/>
    <n v="1"/>
    <n v="2"/>
    <n v="72"/>
    <n v="0.83333333333333337"/>
    <n v="60"/>
    <n v="100"/>
  </r>
  <r>
    <s v="Покупка билета (без просмотра квитанции)"/>
    <x v="1"/>
    <n v="1"/>
    <n v="2"/>
    <n v="72"/>
    <n v="0.83333333333333337"/>
    <n v="60"/>
    <n v="100"/>
  </r>
  <r>
    <s v="Покупка билета (без просмотра квитанции)"/>
    <x v="2"/>
    <n v="1"/>
    <n v="2"/>
    <n v="72"/>
    <n v="0.83333333333333337"/>
    <n v="60"/>
    <n v="100"/>
  </r>
  <r>
    <s v="Покупка билета (без просмотра квитанции)"/>
    <x v="3"/>
    <n v="1"/>
    <n v="2"/>
    <n v="72"/>
    <n v="0.83333333333333337"/>
    <n v="60"/>
    <n v="100"/>
  </r>
  <r>
    <s v="Покупка билета (без просмотра квитанции)"/>
    <x v="5"/>
    <n v="1"/>
    <n v="2"/>
    <n v="72"/>
    <n v="0.83333333333333337"/>
    <n v="60"/>
    <n v="100"/>
  </r>
  <r>
    <s v="Проверка брони"/>
    <x v="0"/>
    <n v="1"/>
    <n v="2"/>
    <n v="36"/>
    <n v="1.6666666666666667"/>
    <n v="60"/>
    <n v="200"/>
  </r>
  <r>
    <s v="Проверка брони"/>
    <x v="4"/>
    <n v="1"/>
    <n v="2"/>
    <n v="36"/>
    <n v="1.6666666666666667"/>
    <n v="60"/>
    <n v="200"/>
  </r>
  <r>
    <s v="Проверка брони"/>
    <x v="5"/>
    <n v="1"/>
    <n v="2"/>
    <n v="36"/>
    <n v="1.6666666666666667"/>
    <n v="6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8241-71E6-3F4A-ACE2-C3E8BA417ED7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5"/>
        <item x="1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01E40-88CB-43BE-B3A1-11FF905D78A9}" name="Таблица1" displayName="Таблица1" ref="A1:H6" totalsRowShown="0">
  <autoFilter ref="A1:H6" xr:uid="{ECEA1148-206D-45E1-8EE6-BE05E4F1EC5D}"/>
  <tableColumns count="8">
    <tableColumn id="1" xr3:uid="{1F6E99A8-0E02-423C-B571-B9C2800D0AFF}" name="Script name"/>
    <tableColumn id="2" xr3:uid="{B9C94CEA-B323-4E69-9EB5-0126D8350257}" name="transaction rq"/>
    <tableColumn id="3" xr3:uid="{14468818-327E-4826-A25F-9500743050F5}" name="count"/>
    <tableColumn id="4" xr3:uid="{DEE24A90-DDB6-4464-BA76-601C564EB505}" name="VU"/>
    <tableColumn id="5" xr3:uid="{A055DDF1-4B0A-4D6D-9439-3BA2AC43783C}" name="pacing"/>
    <tableColumn id="6" xr3:uid="{0AE6EFED-8983-47F4-B9CE-ED1BF8466045}" name="одним пользователем в минуту"/>
    <tableColumn id="7" xr3:uid="{AEC04918-B156-4DCC-85F5-DE1EBE501050}" name="Длительность ступени"/>
    <tableColumn id="8" xr3:uid="{A39B11D6-F18A-4B0F-A6F5-9E9575688D65}" name="Итого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ABA18-6638-4289-8FBD-B887355774C5}" name="Таблица2" displayName="Таблица2" ref="A1:H6" totalsRowShown="0">
  <autoFilter ref="A1:H6" xr:uid="{08C8883A-769B-4CE4-8FFB-DB9029B350D8}"/>
  <tableColumns count="8">
    <tableColumn id="1" xr3:uid="{3E217C63-18FD-40E8-AE17-1C1C77EA0B89}" name="Script name"/>
    <tableColumn id="2" xr3:uid="{2632B68F-89B6-446E-8CC3-D504617C4B87}" name="transaction rq"/>
    <tableColumn id="3" xr3:uid="{B41E3DCE-A290-4D94-97BF-C0ADAC7D9A4F}" name="count"/>
    <tableColumn id="4" xr3:uid="{73945D25-B074-49EA-8787-842BFB1492EA}" name="VU"/>
    <tableColumn id="5" xr3:uid="{F74A80EE-DED0-4B33-A9A6-8410DAA79A27}" name="pacing"/>
    <tableColumn id="6" xr3:uid="{35CBE4D9-BFFE-41DF-9DA7-2F08CF2A73CB}" name="одним пользователем в минуту"/>
    <tableColumn id="7" xr3:uid="{E435A688-A28D-4680-AF16-2ADDCAAF1E6E}" name="Длительность ступени"/>
    <tableColumn id="8" xr3:uid="{3A334803-DF9A-4FAA-8F9C-7BA443792792}" name="Итого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F55B91-42BB-40AF-B978-162BF5253301}" name="Таблица3" displayName="Таблица3" ref="A1:H6" totalsRowShown="0">
  <autoFilter ref="A1:H6" xr:uid="{7EC0A2BA-D13F-4B6C-9E39-3F708099C018}"/>
  <tableColumns count="8">
    <tableColumn id="1" xr3:uid="{82BCB751-E413-46CC-A137-964013C76E8E}" name="Script name"/>
    <tableColumn id="2" xr3:uid="{C1EA0613-E716-4E75-A74D-94272120F67D}" name="transaction rq"/>
    <tableColumn id="3" xr3:uid="{FCA92E4B-C642-4E66-9DDA-06013DE21292}" name="count"/>
    <tableColumn id="4" xr3:uid="{7AA29C4D-4D89-42FD-9093-8CAE25499AC5}" name="VU"/>
    <tableColumn id="5" xr3:uid="{89B9BE2A-7EBC-403C-83CF-8F0AA618D031}" name="pacing"/>
    <tableColumn id="6" xr3:uid="{32335D9C-4E74-4C0C-8924-57B3F629E186}" name="одним пользователем в минуту"/>
    <tableColumn id="7" xr3:uid="{D4923325-3432-4A8A-8644-FDED95E029EC}" name="Длительность ступени"/>
    <tableColumn id="8" xr3:uid="{F320F49A-1A26-4C39-A591-157C80F4B903}" name="Итого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1ABA3-993C-4299-83D2-7CE47D6AD179}" name="Таблица4" displayName="Таблица4" ref="A1:H5" totalsRowShown="0">
  <autoFilter ref="A1:H5" xr:uid="{29AE29E5-4845-468A-9880-88CC73FF4BFD}"/>
  <tableColumns count="8">
    <tableColumn id="1" xr3:uid="{00D062AE-E07B-438A-9509-4D54C1907B08}" name="Script name"/>
    <tableColumn id="2" xr3:uid="{05DF01E0-37C1-4074-BF58-DC221C7F01B6}" name="transaction rq"/>
    <tableColumn id="3" xr3:uid="{940F71D5-DB4E-4CB3-92D3-1D077DFB0307}" name="count"/>
    <tableColumn id="4" xr3:uid="{7F0775FC-3F52-471F-828F-50F0400DA04E}" name="VU"/>
    <tableColumn id="5" xr3:uid="{02647254-6A6B-4EDB-80AF-8B0B8E22F2B5}" name="pacing"/>
    <tableColumn id="6" xr3:uid="{EB278893-4B66-4C98-82E8-6753EFE5F42F}" name="одним пользователем в минуту"/>
    <tableColumn id="7" xr3:uid="{5B83ACB4-0F80-43B0-9DBD-D78678A158C1}" name="Длительность ступени"/>
    <tableColumn id="8" xr3:uid="{7AE22DC1-DCD2-45DA-B9B8-3E86C5008468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S42"/>
  <sheetViews>
    <sheetView topLeftCell="A11" zoomScale="85" zoomScaleNormal="85" workbookViewId="0">
      <selection activeCell="P14" sqref="P14"/>
    </sheetView>
  </sheetViews>
  <sheetFormatPr defaultColWidth="8.85546875" defaultRowHeight="15" x14ac:dyDescent="0.25"/>
  <cols>
    <col min="5" max="5" width="7.28515625" customWidth="1"/>
    <col min="6" max="6" width="6.85546875" customWidth="1"/>
    <col min="7" max="7" width="3.140625" bestFit="1" customWidth="1"/>
    <col min="8" max="8" width="30.140625" bestFit="1" customWidth="1"/>
    <col min="9" max="9" width="18" bestFit="1" customWidth="1"/>
    <col min="10" max="10" width="19.42578125" customWidth="1"/>
    <col min="11" max="11" width="15.42578125" customWidth="1"/>
    <col min="12" max="12" width="19.42578125" customWidth="1"/>
    <col min="13" max="13" width="13.42578125" customWidth="1"/>
    <col min="14" max="15" width="12.140625" customWidth="1"/>
    <col min="17" max="17" width="13.42578125" bestFit="1" customWidth="1"/>
    <col min="18" max="18" width="24.42578125" bestFit="1" customWidth="1"/>
    <col min="20" max="20" width="4.42578125" bestFit="1" customWidth="1"/>
  </cols>
  <sheetData>
    <row r="6" spans="7:12" ht="15.75" thickBot="1" x14ac:dyDescent="0.3">
      <c r="H6" t="s">
        <v>73</v>
      </c>
    </row>
    <row r="7" spans="7:12" ht="19.5" hidden="1" thickBot="1" x14ac:dyDescent="0.35">
      <c r="G7" s="90" t="s">
        <v>12</v>
      </c>
      <c r="H7" s="90"/>
      <c r="I7" s="90"/>
      <c r="J7" s="90"/>
    </row>
    <row r="8" spans="7:12" ht="57" thickBot="1" x14ac:dyDescent="0.3">
      <c r="G8" s="1" t="s">
        <v>0</v>
      </c>
      <c r="H8" s="2" t="s">
        <v>1</v>
      </c>
      <c r="I8" s="3" t="s">
        <v>2</v>
      </c>
      <c r="J8" s="3" t="s">
        <v>3</v>
      </c>
    </row>
    <row r="9" spans="7:12" ht="19.5" thickBot="1" x14ac:dyDescent="0.3">
      <c r="G9" s="4">
        <v>1</v>
      </c>
      <c r="H9" s="5" t="s">
        <v>4</v>
      </c>
      <c r="I9" s="6">
        <v>422</v>
      </c>
      <c r="J9" s="7">
        <v>0.25</v>
      </c>
      <c r="K9">
        <f>I28</f>
        <v>368</v>
      </c>
      <c r="L9" s="43">
        <f>1-I9/K9</f>
        <v>-0.14673913043478271</v>
      </c>
    </row>
    <row r="10" spans="7:12" ht="38.25" thickBot="1" x14ac:dyDescent="0.3">
      <c r="G10" s="4">
        <v>2</v>
      </c>
      <c r="H10" s="5" t="s">
        <v>5</v>
      </c>
      <c r="I10" s="6">
        <v>282</v>
      </c>
      <c r="J10" s="7">
        <v>0.17</v>
      </c>
      <c r="K10">
        <f>J28</f>
        <v>251</v>
      </c>
      <c r="L10" s="43">
        <f t="shared" ref="L10:L15" si="0">1-I10/K10</f>
        <v>-0.12350597609561742</v>
      </c>
    </row>
    <row r="11" spans="7:12" ht="38.25" thickBot="1" x14ac:dyDescent="0.3">
      <c r="G11" s="4">
        <v>3</v>
      </c>
      <c r="H11" s="5" t="s">
        <v>6</v>
      </c>
      <c r="I11" s="6">
        <v>251</v>
      </c>
      <c r="J11" s="7">
        <v>0.15</v>
      </c>
      <c r="K11">
        <f>K28</f>
        <v>251</v>
      </c>
      <c r="L11" s="43">
        <f t="shared" si="0"/>
        <v>0</v>
      </c>
    </row>
    <row r="12" spans="7:12" ht="19.5" thickBot="1" x14ac:dyDescent="0.3">
      <c r="G12" s="4">
        <v>4</v>
      </c>
      <c r="H12" s="5" t="s">
        <v>7</v>
      </c>
      <c r="I12" s="6">
        <v>175</v>
      </c>
      <c r="J12" s="7">
        <v>0.1</v>
      </c>
      <c r="K12">
        <f>L28</f>
        <v>175</v>
      </c>
      <c r="L12" s="43">
        <f t="shared" si="0"/>
        <v>0</v>
      </c>
    </row>
    <row r="13" spans="7:12" ht="19.5" thickBot="1" x14ac:dyDescent="0.3">
      <c r="G13" s="4">
        <v>5</v>
      </c>
      <c r="H13" s="5" t="s">
        <v>8</v>
      </c>
      <c r="I13" s="6">
        <v>159</v>
      </c>
      <c r="J13" s="7">
        <v>0.09</v>
      </c>
      <c r="K13">
        <f>M28</f>
        <v>159</v>
      </c>
      <c r="L13" s="43">
        <f t="shared" si="0"/>
        <v>0</v>
      </c>
    </row>
    <row r="14" spans="7:12" ht="38.25" thickBot="1" x14ac:dyDescent="0.3">
      <c r="G14" s="4">
        <v>6</v>
      </c>
      <c r="H14" s="5" t="s">
        <v>9</v>
      </c>
      <c r="I14" s="6">
        <v>73</v>
      </c>
      <c r="J14" s="7">
        <v>0.04</v>
      </c>
      <c r="K14">
        <f>N28</f>
        <v>73</v>
      </c>
      <c r="L14" s="43">
        <f t="shared" si="0"/>
        <v>0</v>
      </c>
    </row>
    <row r="15" spans="7:12" ht="19.5" thickBot="1" x14ac:dyDescent="0.3">
      <c r="G15" s="4">
        <v>7</v>
      </c>
      <c r="H15" s="5" t="s">
        <v>10</v>
      </c>
      <c r="I15" s="6">
        <v>326</v>
      </c>
      <c r="J15" s="7">
        <v>0.2</v>
      </c>
      <c r="K15">
        <f>O28</f>
        <v>326</v>
      </c>
      <c r="L15" s="43">
        <f t="shared" si="0"/>
        <v>0</v>
      </c>
    </row>
    <row r="16" spans="7:12" ht="19.5" thickBot="1" x14ac:dyDescent="0.3">
      <c r="G16" s="4"/>
      <c r="H16" s="8" t="s">
        <v>11</v>
      </c>
      <c r="I16" s="6">
        <v>1688</v>
      </c>
      <c r="J16" s="7">
        <v>1</v>
      </c>
    </row>
    <row r="20" spans="6:19" ht="15.75" thickBot="1" x14ac:dyDescent="0.3"/>
    <row r="21" spans="6:19" ht="57" thickBot="1" x14ac:dyDescent="0.3">
      <c r="F21" s="15"/>
      <c r="G21" s="1"/>
      <c r="H21" s="16" t="s">
        <v>21</v>
      </c>
      <c r="I21" s="3" t="s">
        <v>4</v>
      </c>
      <c r="J21" s="3" t="s">
        <v>18</v>
      </c>
      <c r="K21" s="3" t="s">
        <v>19</v>
      </c>
      <c r="L21" s="3" t="s">
        <v>7</v>
      </c>
      <c r="M21" s="3" t="s">
        <v>8</v>
      </c>
      <c r="N21" s="3" t="s">
        <v>20</v>
      </c>
      <c r="O21" s="3" t="s">
        <v>10</v>
      </c>
      <c r="P21" s="13" t="s">
        <v>11</v>
      </c>
      <c r="R21" s="18"/>
    </row>
    <row r="22" spans="6:19" ht="19.5" thickBot="1" x14ac:dyDescent="0.3">
      <c r="F22" s="15"/>
      <c r="G22" s="6" t="s">
        <v>0</v>
      </c>
      <c r="H22" s="14" t="s">
        <v>13</v>
      </c>
      <c r="I22" s="6"/>
      <c r="J22" s="6"/>
      <c r="K22" s="6"/>
      <c r="L22" s="6"/>
      <c r="M22" s="6"/>
      <c r="N22" s="6"/>
      <c r="O22" s="6"/>
      <c r="P22" s="19">
        <f>SUM(I22:O22)</f>
        <v>0</v>
      </c>
      <c r="R22" s="44"/>
      <c r="S22" s="44"/>
    </row>
    <row r="23" spans="6:19" ht="19.5" thickBot="1" x14ac:dyDescent="0.3">
      <c r="F23" s="15"/>
      <c r="G23" s="6">
        <v>1</v>
      </c>
      <c r="H23" s="6" t="s">
        <v>14</v>
      </c>
      <c r="I23" s="6">
        <v>42</v>
      </c>
      <c r="J23" s="6">
        <v>42</v>
      </c>
      <c r="K23" s="6">
        <v>42</v>
      </c>
      <c r="L23" s="6">
        <v>42</v>
      </c>
      <c r="M23" s="6">
        <v>42</v>
      </c>
      <c r="N23" s="6"/>
      <c r="O23" s="6"/>
      <c r="P23" s="19">
        <f t="shared" ref="P23:P28" si="1">SUM(I23:O23)</f>
        <v>210</v>
      </c>
      <c r="R23" s="44"/>
      <c r="S23" s="45"/>
    </row>
    <row r="24" spans="6:19" ht="38.25" thickBot="1" x14ac:dyDescent="0.3">
      <c r="F24" s="15"/>
      <c r="G24" s="6">
        <v>2</v>
      </c>
      <c r="H24" s="6" t="s">
        <v>15</v>
      </c>
      <c r="I24" s="6">
        <v>73</v>
      </c>
      <c r="J24" s="6"/>
      <c r="K24" s="6"/>
      <c r="L24" s="6"/>
      <c r="M24" s="6">
        <v>73</v>
      </c>
      <c r="N24" s="6">
        <v>73</v>
      </c>
      <c r="O24" s="6">
        <v>73</v>
      </c>
      <c r="P24" s="19">
        <f t="shared" si="1"/>
        <v>292</v>
      </c>
      <c r="R24" s="44"/>
      <c r="S24" s="45"/>
    </row>
    <row r="25" spans="6:19" ht="38.25" thickBot="1" x14ac:dyDescent="0.3">
      <c r="F25" s="15"/>
      <c r="G25" s="6">
        <v>3</v>
      </c>
      <c r="H25" s="6" t="s">
        <v>27</v>
      </c>
      <c r="I25" s="6">
        <v>76</v>
      </c>
      <c r="J25" s="6">
        <v>76</v>
      </c>
      <c r="K25" s="6">
        <v>76</v>
      </c>
      <c r="L25" s="6"/>
      <c r="M25" s="6"/>
      <c r="N25" s="6"/>
      <c r="O25" s="6">
        <v>76</v>
      </c>
      <c r="P25" s="19">
        <f t="shared" si="1"/>
        <v>304</v>
      </c>
      <c r="R25" s="44"/>
      <c r="S25" s="45"/>
    </row>
    <row r="26" spans="6:19" ht="38.25" thickBot="1" x14ac:dyDescent="0.3">
      <c r="F26" s="15"/>
      <c r="G26" s="6">
        <v>4</v>
      </c>
      <c r="H26" s="6" t="s">
        <v>16</v>
      </c>
      <c r="I26" s="6">
        <v>133</v>
      </c>
      <c r="J26" s="6">
        <v>133</v>
      </c>
      <c r="K26" s="6">
        <v>133</v>
      </c>
      <c r="L26" s="6">
        <v>133</v>
      </c>
      <c r="M26" s="6"/>
      <c r="N26" s="6"/>
      <c r="O26" s="6">
        <v>133</v>
      </c>
      <c r="P26" s="19">
        <f t="shared" si="1"/>
        <v>665</v>
      </c>
      <c r="R26" s="44"/>
      <c r="S26" s="45"/>
    </row>
    <row r="27" spans="6:19" ht="38.25" thickBot="1" x14ac:dyDescent="0.3">
      <c r="F27" s="15"/>
      <c r="G27" s="6">
        <v>5</v>
      </c>
      <c r="H27" s="6" t="s">
        <v>17</v>
      </c>
      <c r="I27" s="6">
        <v>44</v>
      </c>
      <c r="J27" s="6"/>
      <c r="K27" s="6"/>
      <c r="L27" s="6"/>
      <c r="M27" s="6">
        <v>44</v>
      </c>
      <c r="N27" s="6"/>
      <c r="O27" s="6">
        <v>44</v>
      </c>
      <c r="P27" s="19">
        <f t="shared" si="1"/>
        <v>132</v>
      </c>
      <c r="R27" s="44"/>
      <c r="S27" s="45"/>
    </row>
    <row r="28" spans="6:19" ht="19.5" thickBot="1" x14ac:dyDescent="0.3">
      <c r="F28" s="15"/>
      <c r="G28" s="14"/>
      <c r="H28" s="14" t="s">
        <v>22</v>
      </c>
      <c r="I28" s="20">
        <f>SUM(I23:I27)</f>
        <v>368</v>
      </c>
      <c r="J28" s="20">
        <f t="shared" ref="J28:O28" si="2">SUM(J23:J27)</f>
        <v>251</v>
      </c>
      <c r="K28" s="20">
        <f t="shared" si="2"/>
        <v>251</v>
      </c>
      <c r="L28" s="20">
        <f t="shared" si="2"/>
        <v>175</v>
      </c>
      <c r="M28" s="20">
        <f t="shared" si="2"/>
        <v>159</v>
      </c>
      <c r="N28" s="20">
        <f t="shared" si="2"/>
        <v>73</v>
      </c>
      <c r="O28" s="20">
        <f t="shared" si="2"/>
        <v>326</v>
      </c>
      <c r="P28" s="19">
        <f t="shared" si="1"/>
        <v>1603</v>
      </c>
    </row>
    <row r="29" spans="6:19" ht="18.75" x14ac:dyDescent="0.25">
      <c r="G29" s="9"/>
      <c r="H29" s="10"/>
      <c r="I29" s="9"/>
      <c r="J29" s="11"/>
    </row>
    <row r="30" spans="6:19" ht="18.75" x14ac:dyDescent="0.25">
      <c r="G30" s="9"/>
      <c r="H30" s="12"/>
      <c r="I30" s="9"/>
      <c r="J30" s="11"/>
    </row>
    <row r="33" spans="7:13" x14ac:dyDescent="0.25">
      <c r="J33" s="17"/>
    </row>
    <row r="36" spans="7:13" ht="19.5" thickBot="1" x14ac:dyDescent="0.3">
      <c r="G36" s="14"/>
      <c r="H36" s="14"/>
      <c r="I36" s="14"/>
      <c r="J36" s="14"/>
      <c r="K36" s="14"/>
    </row>
    <row r="37" spans="7:13" ht="57" thickBot="1" x14ac:dyDescent="0.3">
      <c r="G37" s="14" t="s">
        <v>0</v>
      </c>
      <c r="H37" s="14" t="s">
        <v>13</v>
      </c>
      <c r="I37" s="14" t="s">
        <v>23</v>
      </c>
      <c r="J37" s="14" t="s">
        <v>25</v>
      </c>
      <c r="K37" s="14" t="s">
        <v>24</v>
      </c>
      <c r="L37" s="21" t="s">
        <v>26</v>
      </c>
      <c r="M37" s="22"/>
    </row>
    <row r="38" spans="7:13" ht="19.5" thickBot="1" x14ac:dyDescent="0.3">
      <c r="G38" s="14">
        <v>1</v>
      </c>
      <c r="H38" s="14" t="s">
        <v>14</v>
      </c>
      <c r="I38" s="14">
        <v>70</v>
      </c>
      <c r="J38" s="14">
        <v>42</v>
      </c>
      <c r="K38" s="14">
        <v>1</v>
      </c>
      <c r="L38" s="21">
        <f>(3600*K38)/I38</f>
        <v>51.428571428571431</v>
      </c>
      <c r="M38" s="22"/>
    </row>
    <row r="39" spans="7:13" ht="38.25" thickBot="1" x14ac:dyDescent="0.3">
      <c r="G39" s="14">
        <v>2</v>
      </c>
      <c r="H39" s="14" t="s">
        <v>15</v>
      </c>
      <c r="I39" s="14">
        <v>49</v>
      </c>
      <c r="J39" s="14">
        <v>73</v>
      </c>
      <c r="K39" s="14">
        <v>1</v>
      </c>
      <c r="L39" s="21">
        <f t="shared" ref="L39:L42" si="3">(3600*K39)/I39</f>
        <v>73.469387755102048</v>
      </c>
      <c r="M39" s="22"/>
    </row>
    <row r="40" spans="7:13" ht="38.25" thickBot="1" x14ac:dyDescent="0.3">
      <c r="G40" s="14">
        <v>3</v>
      </c>
      <c r="H40" s="14" t="s">
        <v>27</v>
      </c>
      <c r="I40" s="14">
        <v>47</v>
      </c>
      <c r="J40" s="14">
        <v>76</v>
      </c>
      <c r="K40" s="14">
        <v>1</v>
      </c>
      <c r="L40" s="21">
        <f t="shared" si="3"/>
        <v>76.59574468085107</v>
      </c>
      <c r="M40" s="22"/>
    </row>
    <row r="41" spans="7:13" ht="57" thickBot="1" x14ac:dyDescent="0.3">
      <c r="G41" s="14">
        <v>4</v>
      </c>
      <c r="H41" s="14" t="s">
        <v>16</v>
      </c>
      <c r="I41" s="14">
        <v>27</v>
      </c>
      <c r="J41" s="14">
        <v>133</v>
      </c>
      <c r="K41" s="14">
        <v>1</v>
      </c>
      <c r="L41" s="21">
        <f t="shared" si="3"/>
        <v>133.33333333333334</v>
      </c>
      <c r="M41" s="22"/>
    </row>
    <row r="42" spans="7:13" ht="38.25" thickBot="1" x14ac:dyDescent="0.3">
      <c r="G42" s="14">
        <v>5</v>
      </c>
      <c r="H42" s="14" t="s">
        <v>17</v>
      </c>
      <c r="I42" s="14">
        <v>82</v>
      </c>
      <c r="J42" s="14">
        <v>44</v>
      </c>
      <c r="K42" s="14">
        <v>1</v>
      </c>
      <c r="L42" s="21">
        <f t="shared" si="3"/>
        <v>43.902439024390247</v>
      </c>
      <c r="M42" s="22"/>
    </row>
  </sheetData>
  <mergeCells count="1">
    <mergeCell ref="G7:J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EA55-5550-4029-ABD1-C00C8086E1AB}">
  <dimension ref="A1:H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4.85546875" customWidth="1"/>
    <col min="6" max="6" width="32.28515625" customWidth="1"/>
    <col min="7" max="7" width="23.28515625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58</v>
      </c>
      <c r="E1" t="s">
        <v>69</v>
      </c>
      <c r="F1" t="s">
        <v>70</v>
      </c>
      <c r="G1" t="s">
        <v>71</v>
      </c>
      <c r="H1" t="s">
        <v>11</v>
      </c>
    </row>
    <row r="2" spans="1:8" x14ac:dyDescent="0.25">
      <c r="A2" t="s">
        <v>14</v>
      </c>
      <c r="B2" t="s">
        <v>4</v>
      </c>
      <c r="C2">
        <v>1</v>
      </c>
      <c r="D2">
        <v>3</v>
      </c>
      <c r="E2">
        <v>80</v>
      </c>
      <c r="F2">
        <v>0.75</v>
      </c>
      <c r="G2">
        <v>60</v>
      </c>
      <c r="H2">
        <v>135</v>
      </c>
    </row>
    <row r="3" spans="1:8" x14ac:dyDescent="0.25">
      <c r="A3" t="s">
        <v>17</v>
      </c>
      <c r="B3" t="s">
        <v>4</v>
      </c>
      <c r="C3">
        <v>1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</row>
    <row r="4" spans="1:8" x14ac:dyDescent="0.25">
      <c r="A4" t="s">
        <v>16</v>
      </c>
      <c r="B4" t="s">
        <v>4</v>
      </c>
      <c r="C4">
        <v>1</v>
      </c>
      <c r="D4">
        <v>2</v>
      </c>
      <c r="E4">
        <v>72</v>
      </c>
      <c r="F4">
        <v>0.83333333333333337</v>
      </c>
      <c r="G4">
        <v>60</v>
      </c>
      <c r="H4">
        <v>100</v>
      </c>
    </row>
    <row r="5" spans="1:8" x14ac:dyDescent="0.25">
      <c r="A5" t="s">
        <v>27</v>
      </c>
      <c r="B5" t="s">
        <v>4</v>
      </c>
      <c r="C5">
        <v>1</v>
      </c>
      <c r="D5">
        <v>2</v>
      </c>
      <c r="E5">
        <v>58</v>
      </c>
      <c r="F5">
        <v>1.0344827586206897</v>
      </c>
      <c r="G5">
        <v>60</v>
      </c>
      <c r="H5">
        <v>124.13793103448276</v>
      </c>
    </row>
    <row r="6" spans="1:8" x14ac:dyDescent="0.25">
      <c r="A6" t="s">
        <v>15</v>
      </c>
      <c r="B6" t="s">
        <v>4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D9BB-9655-4E8B-AEA9-6D1F557863BD}">
  <dimension ref="A1:H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4.85546875" customWidth="1"/>
    <col min="6" max="6" width="32.28515625" customWidth="1"/>
    <col min="7" max="7" width="23.28515625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58</v>
      </c>
      <c r="E1" t="s">
        <v>69</v>
      </c>
      <c r="F1" t="s">
        <v>70</v>
      </c>
      <c r="G1" t="s">
        <v>71</v>
      </c>
      <c r="H1" t="s">
        <v>11</v>
      </c>
    </row>
    <row r="2" spans="1:8" x14ac:dyDescent="0.25">
      <c r="A2" t="s">
        <v>14</v>
      </c>
      <c r="B2" t="s">
        <v>4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 x14ac:dyDescent="0.25">
      <c r="A3" t="s">
        <v>17</v>
      </c>
      <c r="B3" t="s">
        <v>4</v>
      </c>
      <c r="C3">
        <v>1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</row>
    <row r="4" spans="1:8" x14ac:dyDescent="0.25">
      <c r="A4" t="s">
        <v>16</v>
      </c>
      <c r="B4" t="s">
        <v>4</v>
      </c>
      <c r="C4">
        <v>1</v>
      </c>
      <c r="D4">
        <v>1</v>
      </c>
      <c r="E4">
        <v>72</v>
      </c>
      <c r="F4">
        <v>0.83333333333333337</v>
      </c>
      <c r="G4">
        <v>60</v>
      </c>
      <c r="H4">
        <v>50</v>
      </c>
    </row>
    <row r="5" spans="1:8" x14ac:dyDescent="0.25">
      <c r="A5" t="s">
        <v>27</v>
      </c>
      <c r="B5" t="s">
        <v>4</v>
      </c>
      <c r="C5">
        <v>1</v>
      </c>
      <c r="D5">
        <v>1</v>
      </c>
      <c r="E5">
        <v>58</v>
      </c>
      <c r="F5">
        <v>1.0344827586206897</v>
      </c>
      <c r="G5">
        <v>60</v>
      </c>
      <c r="H5">
        <v>62.068965517241381</v>
      </c>
    </row>
    <row r="6" spans="1:8" x14ac:dyDescent="0.25">
      <c r="A6" t="s">
        <v>15</v>
      </c>
      <c r="B6" t="s">
        <v>4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99E4-7BC4-4B2E-90CD-D60E133BD006}">
  <dimension ref="A1:H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4.85546875" customWidth="1"/>
    <col min="6" max="6" width="32.28515625" customWidth="1"/>
    <col min="7" max="7" width="23.28515625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58</v>
      </c>
      <c r="E1" t="s">
        <v>69</v>
      </c>
      <c r="F1" t="s">
        <v>70</v>
      </c>
      <c r="G1" t="s">
        <v>71</v>
      </c>
      <c r="H1" t="s">
        <v>11</v>
      </c>
    </row>
    <row r="2" spans="1:8" x14ac:dyDescent="0.25">
      <c r="A2" t="s">
        <v>14</v>
      </c>
      <c r="B2" t="s">
        <v>4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 x14ac:dyDescent="0.25">
      <c r="A3" t="s">
        <v>17</v>
      </c>
      <c r="B3" t="s">
        <v>4</v>
      </c>
      <c r="C3">
        <v>1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</row>
    <row r="4" spans="1:8" x14ac:dyDescent="0.25">
      <c r="A4" t="s">
        <v>16</v>
      </c>
      <c r="B4" t="s">
        <v>4</v>
      </c>
      <c r="C4">
        <v>1</v>
      </c>
      <c r="D4">
        <v>1</v>
      </c>
      <c r="E4">
        <v>72</v>
      </c>
      <c r="F4">
        <v>0.83333333333333337</v>
      </c>
      <c r="G4">
        <v>60</v>
      </c>
      <c r="H4">
        <v>50</v>
      </c>
    </row>
    <row r="5" spans="1:8" x14ac:dyDescent="0.25">
      <c r="A5" t="s">
        <v>27</v>
      </c>
      <c r="B5" t="s">
        <v>4</v>
      </c>
      <c r="C5">
        <v>1</v>
      </c>
      <c r="D5">
        <v>1</v>
      </c>
      <c r="E5">
        <v>58</v>
      </c>
      <c r="F5">
        <v>1.0344827586206897</v>
      </c>
      <c r="G5">
        <v>60</v>
      </c>
      <c r="H5">
        <v>62.068965517241381</v>
      </c>
    </row>
    <row r="6" spans="1:8" x14ac:dyDescent="0.25">
      <c r="A6" t="s">
        <v>15</v>
      </c>
      <c r="B6" t="s">
        <v>4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20E9-81EB-48A6-8616-B0AF88229A06}">
  <dimension ref="A1:H5"/>
  <sheetViews>
    <sheetView workbookViewId="0">
      <selection activeCell="A2" sqref="A2:H5"/>
    </sheetView>
  </sheetViews>
  <sheetFormatPr defaultRowHeight="15" x14ac:dyDescent="0.25"/>
  <cols>
    <col min="1" max="1" width="42.85546875" customWidth="1"/>
    <col min="2" max="2" width="20.5703125" customWidth="1"/>
    <col min="6" max="6" width="31.5703125" customWidth="1"/>
    <col min="7" max="7" width="24.7109375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58</v>
      </c>
      <c r="E1" t="s">
        <v>69</v>
      </c>
      <c r="F1" t="s">
        <v>70</v>
      </c>
      <c r="G1" t="s">
        <v>71</v>
      </c>
      <c r="H1" t="s">
        <v>11</v>
      </c>
    </row>
    <row r="2" spans="1:8" x14ac:dyDescent="0.25">
      <c r="A2" t="s">
        <v>78</v>
      </c>
      <c r="B2" t="s">
        <v>10</v>
      </c>
      <c r="C2">
        <v>1</v>
      </c>
      <c r="D2">
        <v>2</v>
      </c>
      <c r="E2">
        <v>36</v>
      </c>
      <c r="F2">
        <v>1.6666666666666667</v>
      </c>
      <c r="G2">
        <v>60</v>
      </c>
      <c r="H2">
        <v>200</v>
      </c>
    </row>
    <row r="3" spans="1:8" x14ac:dyDescent="0.25">
      <c r="A3" t="s">
        <v>16</v>
      </c>
      <c r="B3" t="s">
        <v>10</v>
      </c>
      <c r="C3">
        <v>1</v>
      </c>
      <c r="D3">
        <v>2</v>
      </c>
      <c r="E3">
        <v>72</v>
      </c>
      <c r="F3">
        <v>0.83333333333333337</v>
      </c>
      <c r="G3">
        <v>60</v>
      </c>
      <c r="H3">
        <v>100</v>
      </c>
    </row>
    <row r="4" spans="1:8" x14ac:dyDescent="0.25">
      <c r="A4" t="s">
        <v>27</v>
      </c>
      <c r="B4" t="s">
        <v>10</v>
      </c>
      <c r="C4">
        <v>1</v>
      </c>
      <c r="D4">
        <v>2</v>
      </c>
      <c r="E4">
        <v>58</v>
      </c>
      <c r="F4">
        <v>1.0344827586206897</v>
      </c>
      <c r="G4">
        <v>60</v>
      </c>
      <c r="H4">
        <v>124.13793103448276</v>
      </c>
    </row>
    <row r="5" spans="1:8" x14ac:dyDescent="0.25">
      <c r="A5" t="s">
        <v>15</v>
      </c>
      <c r="B5" t="s">
        <v>10</v>
      </c>
      <c r="C5">
        <v>1</v>
      </c>
      <c r="D5">
        <v>1</v>
      </c>
      <c r="E5">
        <v>46</v>
      </c>
      <c r="F5">
        <v>1.3043478260869565</v>
      </c>
      <c r="G5">
        <v>60</v>
      </c>
      <c r="H5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W34"/>
  <sheetViews>
    <sheetView tabSelected="1" topLeftCell="A16" zoomScaleNormal="100" workbookViewId="0">
      <selection activeCell="K33" sqref="K33"/>
    </sheetView>
  </sheetViews>
  <sheetFormatPr defaultColWidth="11.42578125" defaultRowHeight="15" x14ac:dyDescent="0.25"/>
  <cols>
    <col min="1" max="1" width="56.85546875" customWidth="1"/>
    <col min="2" max="2" width="31.42578125" bestFit="1" customWidth="1"/>
    <col min="7" max="7" width="16.5703125" customWidth="1"/>
    <col min="9" max="9" width="36.8554687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3" ht="15" customHeight="1" x14ac:dyDescent="0.25">
      <c r="A1" s="53" t="s">
        <v>51</v>
      </c>
      <c r="B1" s="53" t="s">
        <v>52</v>
      </c>
      <c r="C1" s="53" t="s">
        <v>53</v>
      </c>
      <c r="D1" s="53" t="s">
        <v>58</v>
      </c>
      <c r="E1" s="53" t="s">
        <v>69</v>
      </c>
      <c r="F1" s="53" t="s">
        <v>70</v>
      </c>
      <c r="G1" s="53" t="s">
        <v>71</v>
      </c>
      <c r="H1" s="53" t="s">
        <v>11</v>
      </c>
      <c r="I1" s="38" t="s">
        <v>54</v>
      </c>
      <c r="J1" t="s">
        <v>67</v>
      </c>
      <c r="K1" s="91" t="s">
        <v>77</v>
      </c>
      <c r="L1" s="92"/>
      <c r="M1" s="63" t="s">
        <v>57</v>
      </c>
      <c r="N1" s="64" t="s">
        <v>59</v>
      </c>
      <c r="O1" s="64" t="s">
        <v>60</v>
      </c>
      <c r="P1" s="64" t="s">
        <v>72</v>
      </c>
      <c r="Q1" s="64" t="s">
        <v>61</v>
      </c>
      <c r="R1" s="64" t="s">
        <v>58</v>
      </c>
      <c r="S1" s="64" t="s">
        <v>62</v>
      </c>
      <c r="T1" s="65" t="s">
        <v>63</v>
      </c>
      <c r="U1" s="65" t="s">
        <v>64</v>
      </c>
      <c r="V1" s="65" t="s">
        <v>65</v>
      </c>
      <c r="W1" s="66" t="s">
        <v>66</v>
      </c>
    </row>
    <row r="2" spans="1:23" ht="15" customHeight="1" x14ac:dyDescent="0.25">
      <c r="A2" s="88" t="s">
        <v>14</v>
      </c>
      <c r="B2" s="80" t="s">
        <v>4</v>
      </c>
      <c r="C2" s="57">
        <v>1</v>
      </c>
      <c r="D2" s="15">
        <f>VLOOKUP(A2,$M$1:$W$8,6,FALSE)</f>
        <v>3</v>
      </c>
      <c r="E2">
        <f>VLOOKUP(A2,$M$1:$W$8,5,FALSE)</f>
        <v>80</v>
      </c>
      <c r="F2" s="42">
        <f>VLOOKUP(A2,$M$1:$W$8,7,FALSE)</f>
        <v>0.75</v>
      </c>
      <c r="G2">
        <f>VLOOKUP(A2,$M$1:$W$8,8,FALSE)</f>
        <v>60</v>
      </c>
      <c r="H2" s="41">
        <f>D2*F2*G2</f>
        <v>135</v>
      </c>
      <c r="I2" s="39" t="s">
        <v>4</v>
      </c>
      <c r="J2" s="37">
        <v>637.39880059970017</v>
      </c>
      <c r="K2" s="93"/>
      <c r="L2" s="94"/>
      <c r="M2" s="67" t="s">
        <v>14</v>
      </c>
      <c r="N2" s="40">
        <v>5.0132000000000003</v>
      </c>
      <c r="O2" s="40">
        <v>35.0015</v>
      </c>
      <c r="P2" s="49">
        <f>N2+O2</f>
        <v>40.014699999999998</v>
      </c>
      <c r="Q2" s="40">
        <f>ROUND(2*(P2),0)</f>
        <v>80</v>
      </c>
      <c r="R2" s="40">
        <v>3</v>
      </c>
      <c r="S2" s="68">
        <f>60/(Q2)</f>
        <v>0.75</v>
      </c>
      <c r="T2" s="60">
        <v>60</v>
      </c>
      <c r="U2" s="69">
        <f>ROUND(R2*S2*T2,0)</f>
        <v>135</v>
      </c>
      <c r="V2" s="70">
        <f>R2/W$2</f>
        <v>0.3</v>
      </c>
      <c r="W2" s="71">
        <f>SUM(R2:R6)</f>
        <v>10</v>
      </c>
    </row>
    <row r="3" spans="1:23" ht="15.75" customHeight="1" x14ac:dyDescent="0.25">
      <c r="A3" s="87" t="s">
        <v>14</v>
      </c>
      <c r="B3" s="81" t="s">
        <v>18</v>
      </c>
      <c r="C3" s="58">
        <v>1</v>
      </c>
      <c r="D3" s="15">
        <f t="shared" ref="D3:D23" si="0">VLOOKUP(A3,$M$1:$W$8,6,FALSE)</f>
        <v>3</v>
      </c>
      <c r="E3">
        <f t="shared" ref="E3:E23" si="1">VLOOKUP(A3,$M$1:$W$8,5,FALSE)</f>
        <v>80</v>
      </c>
      <c r="F3" s="42">
        <f t="shared" ref="F3:F23" si="2">VLOOKUP(A3,$M$1:$W$8,7,FALSE)</f>
        <v>0.75</v>
      </c>
      <c r="G3">
        <f t="shared" ref="G3:G23" si="3">VLOOKUP(A3,$M$1:$W$8,8,FALSE)</f>
        <v>60</v>
      </c>
      <c r="H3" s="41">
        <f t="shared" ref="H3:H23" si="4">D3*F3*G3</f>
        <v>135</v>
      </c>
      <c r="I3" s="39" t="s">
        <v>19</v>
      </c>
      <c r="J3" s="37">
        <v>359.13793103448279</v>
      </c>
      <c r="K3" s="93"/>
      <c r="L3" s="94"/>
      <c r="M3" s="67" t="s">
        <v>15</v>
      </c>
      <c r="N3" s="40">
        <v>3.1718999999999999</v>
      </c>
      <c r="O3" s="40">
        <v>20.0031</v>
      </c>
      <c r="P3" s="49">
        <f t="shared" ref="P3:P6" si="5">N3+O3</f>
        <v>23.175000000000001</v>
      </c>
      <c r="Q3" s="40">
        <f t="shared" ref="Q3:Q6" si="6">ROUND(2*(P3),0)</f>
        <v>46</v>
      </c>
      <c r="R3" s="40">
        <v>1</v>
      </c>
      <c r="S3" s="68">
        <f t="shared" ref="S3:S6" si="7">60/(Q3)</f>
        <v>1.3043478260869565</v>
      </c>
      <c r="T3" s="60">
        <v>60</v>
      </c>
      <c r="U3" s="69">
        <f t="shared" ref="U3:U6" si="8">ROUND(R3*S3*T3,0)</f>
        <v>78</v>
      </c>
      <c r="V3" s="70">
        <f t="shared" ref="V3:V6" si="9">R3/W$2</f>
        <v>0.1</v>
      </c>
      <c r="W3" s="71"/>
    </row>
    <row r="4" spans="1:23" ht="15" customHeight="1" x14ac:dyDescent="0.25">
      <c r="A4" s="87" t="s">
        <v>14</v>
      </c>
      <c r="B4" s="81" t="s">
        <v>19</v>
      </c>
      <c r="C4" s="58">
        <v>1</v>
      </c>
      <c r="D4" s="15">
        <f t="shared" si="0"/>
        <v>3</v>
      </c>
      <c r="E4">
        <f t="shared" si="1"/>
        <v>80</v>
      </c>
      <c r="F4" s="42">
        <f t="shared" si="2"/>
        <v>0.75</v>
      </c>
      <c r="G4">
        <f t="shared" si="3"/>
        <v>60</v>
      </c>
      <c r="H4" s="41">
        <f t="shared" si="4"/>
        <v>135</v>
      </c>
      <c r="I4" s="39" t="s">
        <v>10</v>
      </c>
      <c r="J4" s="37">
        <v>637.39880059970017</v>
      </c>
      <c r="K4" s="93"/>
      <c r="L4" s="94"/>
      <c r="M4" s="67" t="s">
        <v>27</v>
      </c>
      <c r="N4" s="40">
        <v>3.9716</v>
      </c>
      <c r="O4" s="40">
        <v>25.003399999999999</v>
      </c>
      <c r="P4" s="49">
        <f t="shared" si="5"/>
        <v>28.974999999999998</v>
      </c>
      <c r="Q4" s="40">
        <f t="shared" si="6"/>
        <v>58</v>
      </c>
      <c r="R4" s="40">
        <v>2</v>
      </c>
      <c r="S4" s="68">
        <f t="shared" si="7"/>
        <v>1.0344827586206897</v>
      </c>
      <c r="T4" s="60">
        <v>60</v>
      </c>
      <c r="U4" s="69">
        <f t="shared" si="8"/>
        <v>124</v>
      </c>
      <c r="V4" s="70">
        <f t="shared" si="9"/>
        <v>0.2</v>
      </c>
      <c r="W4" s="71"/>
    </row>
    <row r="5" spans="1:23" ht="15" customHeight="1" x14ac:dyDescent="0.25">
      <c r="A5" s="87" t="s">
        <v>14</v>
      </c>
      <c r="B5" s="81" t="s">
        <v>7</v>
      </c>
      <c r="C5" s="58">
        <v>1</v>
      </c>
      <c r="D5" s="15">
        <f t="shared" si="0"/>
        <v>3</v>
      </c>
      <c r="E5">
        <f t="shared" si="1"/>
        <v>80</v>
      </c>
      <c r="F5" s="42">
        <f t="shared" si="2"/>
        <v>0.75</v>
      </c>
      <c r="G5">
        <f t="shared" si="3"/>
        <v>60</v>
      </c>
      <c r="H5" s="41">
        <f t="shared" si="4"/>
        <v>135</v>
      </c>
      <c r="I5" s="39" t="s">
        <v>18</v>
      </c>
      <c r="J5" s="37">
        <v>359.13793103448279</v>
      </c>
      <c r="K5" s="93"/>
      <c r="L5" s="94"/>
      <c r="M5" s="67" t="s">
        <v>16</v>
      </c>
      <c r="N5" s="40">
        <v>5.8638000000000003</v>
      </c>
      <c r="O5" s="40">
        <v>30.003399999999999</v>
      </c>
      <c r="P5" s="49">
        <f t="shared" si="5"/>
        <v>35.867199999999997</v>
      </c>
      <c r="Q5" s="40">
        <f t="shared" si="6"/>
        <v>72</v>
      </c>
      <c r="R5" s="40">
        <v>2</v>
      </c>
      <c r="S5" s="68">
        <f t="shared" si="7"/>
        <v>0.83333333333333337</v>
      </c>
      <c r="T5" s="60">
        <v>60</v>
      </c>
      <c r="U5" s="69">
        <f t="shared" si="8"/>
        <v>100</v>
      </c>
      <c r="V5" s="70">
        <f t="shared" si="9"/>
        <v>0.2</v>
      </c>
      <c r="W5" s="71"/>
    </row>
    <row r="6" spans="1:23" ht="15.75" customHeight="1" thickBot="1" x14ac:dyDescent="0.3">
      <c r="A6" s="87" t="s">
        <v>14</v>
      </c>
      <c r="B6" s="81" t="s">
        <v>8</v>
      </c>
      <c r="C6" s="58">
        <v>1</v>
      </c>
      <c r="D6" s="15">
        <f t="shared" si="0"/>
        <v>3</v>
      </c>
      <c r="E6">
        <f t="shared" si="1"/>
        <v>80</v>
      </c>
      <c r="F6" s="42">
        <f t="shared" si="2"/>
        <v>0.75</v>
      </c>
      <c r="G6">
        <f t="shared" si="3"/>
        <v>60</v>
      </c>
      <c r="H6" s="41">
        <f t="shared" si="4"/>
        <v>135</v>
      </c>
      <c r="I6" s="39" t="s">
        <v>7</v>
      </c>
      <c r="J6" s="37">
        <v>235</v>
      </c>
      <c r="K6" s="95"/>
      <c r="L6" s="96"/>
      <c r="M6" s="72" t="s">
        <v>78</v>
      </c>
      <c r="N6" s="73">
        <v>2.9535</v>
      </c>
      <c r="O6" s="73">
        <v>15.0017</v>
      </c>
      <c r="P6" s="74">
        <f t="shared" si="5"/>
        <v>17.955199999999998</v>
      </c>
      <c r="Q6" s="40">
        <f t="shared" si="6"/>
        <v>36</v>
      </c>
      <c r="R6" s="73">
        <v>2</v>
      </c>
      <c r="S6" s="75">
        <f t="shared" si="7"/>
        <v>1.6666666666666667</v>
      </c>
      <c r="T6" s="76">
        <v>60</v>
      </c>
      <c r="U6" s="77">
        <f t="shared" si="8"/>
        <v>200</v>
      </c>
      <c r="V6" s="78">
        <f t="shared" si="9"/>
        <v>0.2</v>
      </c>
      <c r="W6" s="79"/>
    </row>
    <row r="7" spans="1:23" x14ac:dyDescent="0.25">
      <c r="A7" s="84" t="s">
        <v>14</v>
      </c>
      <c r="B7" s="82" t="s">
        <v>10</v>
      </c>
      <c r="C7" s="59">
        <v>1</v>
      </c>
      <c r="D7" s="15">
        <f t="shared" si="0"/>
        <v>3</v>
      </c>
      <c r="E7">
        <f t="shared" si="1"/>
        <v>80</v>
      </c>
      <c r="F7" s="42">
        <f t="shared" si="2"/>
        <v>0.75</v>
      </c>
      <c r="G7">
        <f t="shared" si="3"/>
        <v>60</v>
      </c>
      <c r="H7" s="41">
        <f t="shared" si="4"/>
        <v>135</v>
      </c>
      <c r="I7" s="39" t="s">
        <v>20</v>
      </c>
      <c r="J7" s="37">
        <v>78.260869565217391</v>
      </c>
      <c r="K7" s="37"/>
      <c r="T7" s="54"/>
      <c r="U7" s="55">
        <f>SUM(U2:U6)</f>
        <v>637</v>
      </c>
      <c r="V7" s="56">
        <f>SUM(V2:V6)</f>
        <v>1</v>
      </c>
      <c r="W7" s="54"/>
    </row>
    <row r="8" spans="1:23" x14ac:dyDescent="0.25">
      <c r="A8" s="80" t="s">
        <v>15</v>
      </c>
      <c r="B8" s="57" t="s">
        <v>4</v>
      </c>
      <c r="C8" s="80">
        <v>1</v>
      </c>
      <c r="D8" s="15">
        <f t="shared" si="0"/>
        <v>1</v>
      </c>
      <c r="E8">
        <f t="shared" si="1"/>
        <v>46</v>
      </c>
      <c r="F8" s="42">
        <f t="shared" si="2"/>
        <v>1.3043478260869565</v>
      </c>
      <c r="G8">
        <f t="shared" si="3"/>
        <v>60</v>
      </c>
      <c r="H8" s="41">
        <f t="shared" si="4"/>
        <v>78.260869565217391</v>
      </c>
      <c r="I8" s="39" t="s">
        <v>8</v>
      </c>
      <c r="J8" s="37">
        <v>413.26086956521738</v>
      </c>
      <c r="K8" s="37"/>
    </row>
    <row r="9" spans="1:23" x14ac:dyDescent="0.25">
      <c r="A9" s="81" t="s">
        <v>15</v>
      </c>
      <c r="B9" s="58" t="s">
        <v>8</v>
      </c>
      <c r="C9" s="81">
        <v>1</v>
      </c>
      <c r="D9" s="15">
        <f t="shared" si="0"/>
        <v>1</v>
      </c>
      <c r="E9">
        <f t="shared" si="1"/>
        <v>46</v>
      </c>
      <c r="F9" s="42">
        <f t="shared" si="2"/>
        <v>1.3043478260869565</v>
      </c>
      <c r="G9">
        <f t="shared" si="3"/>
        <v>60</v>
      </c>
      <c r="H9" s="41">
        <f t="shared" si="4"/>
        <v>78.260869565217391</v>
      </c>
      <c r="I9" s="39" t="s">
        <v>55</v>
      </c>
      <c r="J9" s="37">
        <v>2719.5952023988011</v>
      </c>
      <c r="K9" s="37"/>
    </row>
    <row r="10" spans="1:23" x14ac:dyDescent="0.25">
      <c r="A10" s="81" t="s">
        <v>15</v>
      </c>
      <c r="B10" s="58" t="s">
        <v>20</v>
      </c>
      <c r="C10" s="81">
        <v>1</v>
      </c>
      <c r="D10" s="15">
        <f t="shared" si="0"/>
        <v>1</v>
      </c>
      <c r="E10">
        <f t="shared" si="1"/>
        <v>46</v>
      </c>
      <c r="F10" s="42">
        <f t="shared" si="2"/>
        <v>1.3043478260869565</v>
      </c>
      <c r="G10">
        <f t="shared" si="3"/>
        <v>60</v>
      </c>
      <c r="H10" s="41">
        <f t="shared" si="4"/>
        <v>78.260869565217391</v>
      </c>
    </row>
    <row r="11" spans="1:23" x14ac:dyDescent="0.25">
      <c r="A11" s="82" t="s">
        <v>15</v>
      </c>
      <c r="B11" s="59" t="s">
        <v>10</v>
      </c>
      <c r="C11" s="82">
        <v>1</v>
      </c>
      <c r="D11" s="15">
        <f t="shared" si="0"/>
        <v>1</v>
      </c>
      <c r="E11">
        <f t="shared" si="1"/>
        <v>46</v>
      </c>
      <c r="F11" s="42">
        <f t="shared" si="2"/>
        <v>1.3043478260869565</v>
      </c>
      <c r="G11">
        <f t="shared" si="3"/>
        <v>60</v>
      </c>
      <c r="H11" s="41">
        <f t="shared" si="4"/>
        <v>78.260869565217391</v>
      </c>
    </row>
    <row r="12" spans="1:23" x14ac:dyDescent="0.25">
      <c r="A12" s="80" t="s">
        <v>27</v>
      </c>
      <c r="B12" s="57" t="s">
        <v>4</v>
      </c>
      <c r="C12" s="80">
        <v>1</v>
      </c>
      <c r="D12" s="15">
        <f t="shared" si="0"/>
        <v>2</v>
      </c>
      <c r="E12">
        <f t="shared" si="1"/>
        <v>58</v>
      </c>
      <c r="F12" s="42">
        <f t="shared" si="2"/>
        <v>1.0344827586206897</v>
      </c>
      <c r="G12">
        <f t="shared" si="3"/>
        <v>60</v>
      </c>
      <c r="H12" s="41">
        <f t="shared" si="4"/>
        <v>124.13793103448276</v>
      </c>
    </row>
    <row r="13" spans="1:23" x14ac:dyDescent="0.25">
      <c r="A13" s="81" t="s">
        <v>27</v>
      </c>
      <c r="B13" s="58" t="s">
        <v>18</v>
      </c>
      <c r="C13" s="81">
        <v>1</v>
      </c>
      <c r="D13" s="15">
        <f t="shared" si="0"/>
        <v>2</v>
      </c>
      <c r="E13">
        <f t="shared" si="1"/>
        <v>58</v>
      </c>
      <c r="F13" s="42">
        <f t="shared" si="2"/>
        <v>1.0344827586206897</v>
      </c>
      <c r="G13">
        <f t="shared" si="3"/>
        <v>60</v>
      </c>
      <c r="H13" s="41">
        <f t="shared" si="4"/>
        <v>124.13793103448276</v>
      </c>
    </row>
    <row r="14" spans="1:23" x14ac:dyDescent="0.25">
      <c r="A14" s="81" t="s">
        <v>27</v>
      </c>
      <c r="B14" s="58" t="s">
        <v>19</v>
      </c>
      <c r="C14" s="81">
        <v>1</v>
      </c>
      <c r="D14" s="15">
        <f t="shared" si="0"/>
        <v>2</v>
      </c>
      <c r="E14">
        <f t="shared" si="1"/>
        <v>58</v>
      </c>
      <c r="F14" s="42">
        <f t="shared" si="2"/>
        <v>1.0344827586206897</v>
      </c>
      <c r="G14">
        <f t="shared" si="3"/>
        <v>60</v>
      </c>
      <c r="H14" s="41">
        <f t="shared" si="4"/>
        <v>124.13793103448276</v>
      </c>
    </row>
    <row r="15" spans="1:23" x14ac:dyDescent="0.25">
      <c r="A15" s="82" t="s">
        <v>27</v>
      </c>
      <c r="B15" s="59" t="s">
        <v>10</v>
      </c>
      <c r="C15" s="82">
        <v>1</v>
      </c>
      <c r="D15" s="15">
        <f t="shared" si="0"/>
        <v>2</v>
      </c>
      <c r="E15">
        <f t="shared" si="1"/>
        <v>58</v>
      </c>
      <c r="F15" s="42">
        <f t="shared" si="2"/>
        <v>1.0344827586206897</v>
      </c>
      <c r="G15">
        <f t="shared" si="3"/>
        <v>60</v>
      </c>
      <c r="H15" s="41">
        <f t="shared" si="4"/>
        <v>124.13793103448276</v>
      </c>
    </row>
    <row r="16" spans="1:23" x14ac:dyDescent="0.25">
      <c r="A16" s="80" t="s">
        <v>16</v>
      </c>
      <c r="B16" s="57" t="s">
        <v>4</v>
      </c>
      <c r="C16" s="80">
        <v>1</v>
      </c>
      <c r="D16" s="15">
        <f t="shared" si="0"/>
        <v>2</v>
      </c>
      <c r="E16">
        <f t="shared" si="1"/>
        <v>72</v>
      </c>
      <c r="F16" s="42">
        <f t="shared" si="2"/>
        <v>0.83333333333333337</v>
      </c>
      <c r="G16">
        <f t="shared" si="3"/>
        <v>60</v>
      </c>
      <c r="H16" s="41">
        <f t="shared" si="4"/>
        <v>100</v>
      </c>
    </row>
    <row r="17" spans="1:12" x14ac:dyDescent="0.25">
      <c r="A17" s="81" t="s">
        <v>16</v>
      </c>
      <c r="B17" s="58" t="s">
        <v>18</v>
      </c>
      <c r="C17" s="81">
        <v>1</v>
      </c>
      <c r="D17" s="15">
        <f t="shared" si="0"/>
        <v>2</v>
      </c>
      <c r="E17">
        <f t="shared" si="1"/>
        <v>72</v>
      </c>
      <c r="F17" s="42">
        <f t="shared" si="2"/>
        <v>0.83333333333333337</v>
      </c>
      <c r="G17">
        <f t="shared" si="3"/>
        <v>60</v>
      </c>
      <c r="H17" s="41">
        <f t="shared" si="4"/>
        <v>100</v>
      </c>
    </row>
    <row r="18" spans="1:12" x14ac:dyDescent="0.25">
      <c r="A18" s="81" t="s">
        <v>16</v>
      </c>
      <c r="B18" s="58" t="s">
        <v>19</v>
      </c>
      <c r="C18" s="81">
        <v>1</v>
      </c>
      <c r="D18" s="15">
        <f t="shared" si="0"/>
        <v>2</v>
      </c>
      <c r="E18">
        <f t="shared" si="1"/>
        <v>72</v>
      </c>
      <c r="F18" s="42">
        <f t="shared" si="2"/>
        <v>0.83333333333333337</v>
      </c>
      <c r="G18">
        <f t="shared" si="3"/>
        <v>60</v>
      </c>
      <c r="H18" s="41">
        <f t="shared" si="4"/>
        <v>100</v>
      </c>
    </row>
    <row r="19" spans="1:12" x14ac:dyDescent="0.25">
      <c r="A19" s="58" t="s">
        <v>16</v>
      </c>
      <c r="B19" s="83" t="s">
        <v>7</v>
      </c>
      <c r="C19" s="81">
        <v>1</v>
      </c>
      <c r="D19" s="15">
        <f t="shared" si="0"/>
        <v>2</v>
      </c>
      <c r="E19">
        <f t="shared" si="1"/>
        <v>72</v>
      </c>
      <c r="F19" s="42">
        <f t="shared" si="2"/>
        <v>0.83333333333333337</v>
      </c>
      <c r="G19">
        <f t="shared" si="3"/>
        <v>60</v>
      </c>
      <c r="H19" s="41">
        <f t="shared" si="4"/>
        <v>100</v>
      </c>
    </row>
    <row r="20" spans="1:12" x14ac:dyDescent="0.25">
      <c r="A20" s="59" t="s">
        <v>16</v>
      </c>
      <c r="B20" s="59" t="s">
        <v>10</v>
      </c>
      <c r="C20" s="82">
        <v>1</v>
      </c>
      <c r="D20" s="15">
        <f t="shared" si="0"/>
        <v>2</v>
      </c>
      <c r="E20">
        <f t="shared" si="1"/>
        <v>72</v>
      </c>
      <c r="F20" s="42">
        <f t="shared" si="2"/>
        <v>0.83333333333333337</v>
      </c>
      <c r="G20">
        <f t="shared" si="3"/>
        <v>60</v>
      </c>
      <c r="H20" s="41">
        <f t="shared" si="4"/>
        <v>100</v>
      </c>
    </row>
    <row r="21" spans="1:12" x14ac:dyDescent="0.25">
      <c r="A21" s="80" t="s">
        <v>78</v>
      </c>
      <c r="B21" s="58" t="s">
        <v>4</v>
      </c>
      <c r="C21" s="81">
        <v>1</v>
      </c>
      <c r="D21" s="15">
        <f t="shared" si="0"/>
        <v>2</v>
      </c>
      <c r="E21">
        <f t="shared" si="1"/>
        <v>36</v>
      </c>
      <c r="F21" s="42">
        <f t="shared" si="2"/>
        <v>1.6666666666666667</v>
      </c>
      <c r="G21">
        <f t="shared" si="3"/>
        <v>60</v>
      </c>
      <c r="H21" s="41">
        <f t="shared" si="4"/>
        <v>200</v>
      </c>
    </row>
    <row r="22" spans="1:12" x14ac:dyDescent="0.25">
      <c r="A22" s="81" t="s">
        <v>78</v>
      </c>
      <c r="B22" s="58" t="s">
        <v>8</v>
      </c>
      <c r="C22" s="81">
        <v>1</v>
      </c>
      <c r="D22" s="15">
        <f t="shared" si="0"/>
        <v>2</v>
      </c>
      <c r="E22">
        <f t="shared" si="1"/>
        <v>36</v>
      </c>
      <c r="F22" s="42">
        <f t="shared" si="2"/>
        <v>1.6666666666666667</v>
      </c>
      <c r="G22">
        <f t="shared" si="3"/>
        <v>60</v>
      </c>
      <c r="H22" s="41">
        <f t="shared" si="4"/>
        <v>200</v>
      </c>
    </row>
    <row r="23" spans="1:12" x14ac:dyDescent="0.25">
      <c r="A23" s="82" t="s">
        <v>78</v>
      </c>
      <c r="B23" s="59" t="s">
        <v>10</v>
      </c>
      <c r="C23" s="82">
        <v>1</v>
      </c>
      <c r="D23" s="89">
        <f t="shared" si="0"/>
        <v>2</v>
      </c>
      <c r="E23">
        <f t="shared" si="1"/>
        <v>36</v>
      </c>
      <c r="F23" s="42">
        <f t="shared" si="2"/>
        <v>1.6666666666666667</v>
      </c>
      <c r="G23">
        <f t="shared" si="3"/>
        <v>60</v>
      </c>
      <c r="H23" s="41">
        <f t="shared" si="4"/>
        <v>200</v>
      </c>
    </row>
    <row r="24" spans="1:12" x14ac:dyDescent="0.25">
      <c r="A24" s="85"/>
      <c r="B24" s="86"/>
      <c r="C24" s="85"/>
    </row>
    <row r="25" spans="1:12" ht="18.75" x14ac:dyDescent="0.25">
      <c r="I25" s="46" t="s">
        <v>76</v>
      </c>
    </row>
    <row r="26" spans="1:12" ht="132" thickBot="1" x14ac:dyDescent="0.35">
      <c r="A26" s="48" t="s">
        <v>56</v>
      </c>
      <c r="B26" s="46"/>
      <c r="C26" s="46" t="s">
        <v>68</v>
      </c>
      <c r="D26" s="46" t="s">
        <v>74</v>
      </c>
      <c r="G26" s="61" t="s">
        <v>79</v>
      </c>
      <c r="H26" s="46" t="s">
        <v>75</v>
      </c>
      <c r="I26" s="50"/>
    </row>
    <row r="27" spans="1:12" ht="19.5" thickBot="1" x14ac:dyDescent="0.3">
      <c r="A27" s="46" t="s">
        <v>4</v>
      </c>
      <c r="B27" s="46">
        <v>642</v>
      </c>
      <c r="C27" s="51">
        <f t="shared" ref="C27:C32" si="10">GETPIVOTDATA("Итого",$I$1,"transaction rq",A27)</f>
        <v>637.39880059970017</v>
      </c>
      <c r="D27" s="50">
        <f>1-B27/C27</f>
        <v>-7.2187136153547549E-3</v>
      </c>
      <c r="F27">
        <f>G27*2</f>
        <v>424.93253373313343</v>
      </c>
      <c r="G27" s="51">
        <f>C27/3</f>
        <v>212.46626686656671</v>
      </c>
      <c r="H27" s="52">
        <v>212</v>
      </c>
      <c r="I27" s="50">
        <f>1-G27/H27</f>
        <v>-2.1993720121071814E-3</v>
      </c>
      <c r="K27" s="98">
        <v>238</v>
      </c>
      <c r="L27">
        <f>1-F27/K27</f>
        <v>-0.78543081400476233</v>
      </c>
    </row>
    <row r="28" spans="1:12" ht="19.5" thickBot="1" x14ac:dyDescent="0.3">
      <c r="A28" s="46" t="s">
        <v>18</v>
      </c>
      <c r="B28" s="46">
        <v>363</v>
      </c>
      <c r="C28" s="51">
        <f t="shared" si="10"/>
        <v>359.13793103448279</v>
      </c>
      <c r="D28" s="50">
        <f t="shared" ref="D28:D33" si="11">1-B28/C28</f>
        <v>-1.0753720595295224E-2</v>
      </c>
      <c r="F28">
        <f t="shared" ref="F28:F33" si="12">G28*2</f>
        <v>239.42528735632186</v>
      </c>
      <c r="G28" s="51">
        <f t="shared" ref="G28:G33" si="13">C28/3</f>
        <v>119.71264367816093</v>
      </c>
      <c r="H28" s="52">
        <v>120</v>
      </c>
      <c r="I28" s="50">
        <f t="shared" ref="I28:I33" si="14">1-G28/H28</f>
        <v>2.3946360153256352E-3</v>
      </c>
      <c r="K28" s="99">
        <v>52</v>
      </c>
      <c r="L28">
        <f t="shared" ref="L28:L33" si="15">1-F28/K28</f>
        <v>-3.6043324491600357</v>
      </c>
    </row>
    <row r="29" spans="1:12" ht="19.5" thickBot="1" x14ac:dyDescent="0.3">
      <c r="A29" s="46" t="s">
        <v>19</v>
      </c>
      <c r="B29" s="46">
        <v>363</v>
      </c>
      <c r="C29" s="51">
        <f t="shared" si="10"/>
        <v>359.13793103448279</v>
      </c>
      <c r="D29" s="50">
        <f t="shared" si="11"/>
        <v>-1.0753720595295224E-2</v>
      </c>
      <c r="F29">
        <f t="shared" si="12"/>
        <v>239.42528735632186</v>
      </c>
      <c r="G29" s="51">
        <f t="shared" si="13"/>
        <v>119.71264367816093</v>
      </c>
      <c r="H29" s="52">
        <v>119</v>
      </c>
      <c r="I29" s="50">
        <f t="shared" si="14"/>
        <v>-5.9886023374868813E-3</v>
      </c>
      <c r="K29" s="99">
        <v>240</v>
      </c>
      <c r="L29">
        <f t="shared" si="15"/>
        <v>2.3946360153256352E-3</v>
      </c>
    </row>
    <row r="30" spans="1:12" ht="19.5" thickBot="1" x14ac:dyDescent="0.3">
      <c r="A30" s="46" t="s">
        <v>7</v>
      </c>
      <c r="B30" s="46">
        <v>240</v>
      </c>
      <c r="C30" s="51">
        <f t="shared" si="10"/>
        <v>235</v>
      </c>
      <c r="D30" s="50">
        <f t="shared" si="11"/>
        <v>-2.1276595744680771E-2</v>
      </c>
      <c r="F30">
        <f t="shared" si="12"/>
        <v>156.66666666666666</v>
      </c>
      <c r="G30" s="51">
        <f t="shared" si="13"/>
        <v>78.333333333333329</v>
      </c>
      <c r="H30" s="52">
        <v>78</v>
      </c>
      <c r="I30" s="50">
        <f t="shared" si="14"/>
        <v>-4.2735042735042583E-3</v>
      </c>
      <c r="K30" s="99">
        <v>156</v>
      </c>
      <c r="L30">
        <f t="shared" si="15"/>
        <v>-4.2735042735042583E-3</v>
      </c>
    </row>
    <row r="31" spans="1:12" ht="19.5" thickBot="1" x14ac:dyDescent="0.3">
      <c r="A31" s="46" t="s">
        <v>8</v>
      </c>
      <c r="B31" s="46">
        <v>414</v>
      </c>
      <c r="C31" s="51">
        <f t="shared" si="10"/>
        <v>413.26086956521738</v>
      </c>
      <c r="D31" s="50">
        <f t="shared" si="11"/>
        <v>-1.7885323513939788E-3</v>
      </c>
      <c r="F31">
        <f t="shared" si="12"/>
        <v>275.50724637681157</v>
      </c>
      <c r="G31" s="51">
        <f t="shared" si="13"/>
        <v>137.75362318840578</v>
      </c>
      <c r="H31" s="52">
        <v>137</v>
      </c>
      <c r="I31" s="50">
        <f t="shared" si="14"/>
        <v>-5.5008991854437195E-3</v>
      </c>
      <c r="K31" s="99">
        <v>276</v>
      </c>
      <c r="L31">
        <f t="shared" si="15"/>
        <v>1.7853392144508984E-3</v>
      </c>
    </row>
    <row r="32" spans="1:12" ht="19.5" thickBot="1" x14ac:dyDescent="0.3">
      <c r="A32" s="46" t="s">
        <v>20</v>
      </c>
      <c r="B32" s="46">
        <v>78</v>
      </c>
      <c r="C32" s="51">
        <f t="shared" si="10"/>
        <v>78.260869565217391</v>
      </c>
      <c r="D32" s="50">
        <f t="shared" si="11"/>
        <v>3.3333333333332993E-3</v>
      </c>
      <c r="F32">
        <f t="shared" si="12"/>
        <v>52.173913043478258</v>
      </c>
      <c r="G32" s="51">
        <f t="shared" si="13"/>
        <v>26.086956521739129</v>
      </c>
      <c r="H32" s="52">
        <v>26</v>
      </c>
      <c r="I32" s="50">
        <f t="shared" si="14"/>
        <v>-3.3444816053511683E-3</v>
      </c>
      <c r="K32" s="99">
        <v>427</v>
      </c>
      <c r="L32">
        <f t="shared" si="15"/>
        <v>0.87781285001527343</v>
      </c>
    </row>
    <row r="33" spans="1:12" ht="19.5" thickBot="1" x14ac:dyDescent="0.3">
      <c r="A33" s="46" t="s">
        <v>10</v>
      </c>
      <c r="B33" s="46">
        <v>642</v>
      </c>
      <c r="C33" s="51">
        <f t="shared" ref="C33" si="16">GETPIVOTDATA("Итого",$I$1,"transaction rq",A33)</f>
        <v>637.39880059970017</v>
      </c>
      <c r="D33" s="50">
        <f t="shared" si="11"/>
        <v>-7.2187136153547549E-3</v>
      </c>
      <c r="F33">
        <f t="shared" si="12"/>
        <v>424.93253373313343</v>
      </c>
      <c r="G33" s="51">
        <f t="shared" si="13"/>
        <v>212.46626686656671</v>
      </c>
      <c r="H33" s="52">
        <v>212</v>
      </c>
      <c r="I33" s="50">
        <f t="shared" si="14"/>
        <v>-2.1993720121071814E-3</v>
      </c>
      <c r="K33" s="99">
        <v>422</v>
      </c>
      <c r="L33">
        <f t="shared" si="15"/>
        <v>-6.9491320690364677E-3</v>
      </c>
    </row>
    <row r="34" spans="1:12" ht="18.75" x14ac:dyDescent="0.25">
      <c r="A34" s="47" t="s">
        <v>11</v>
      </c>
      <c r="B34" s="46">
        <f>SUM(B27:B33)</f>
        <v>2742</v>
      </c>
      <c r="C34" s="51">
        <f>SUM(C27:C33)</f>
        <v>2719.5952023988011</v>
      </c>
      <c r="D34" s="50">
        <f>1-B34/C34</f>
        <v>-8.2382839848507139E-3</v>
      </c>
      <c r="E34" s="9"/>
      <c r="I34" s="62">
        <f>AVERAGE(I27:I32)</f>
        <v>-3.1520372330945956E-3</v>
      </c>
    </row>
  </sheetData>
  <mergeCells count="1">
    <mergeCell ref="K1:L6"/>
  </mergeCells>
  <conditionalFormatting sqref="P2:P6">
    <cfRule type="colorScale" priority="2">
      <colorScale>
        <cfvo type="formula" val="&quot;ЕСЛИ(P2&gt;Q2)&quot;"/>
        <cfvo type="formula" val="&quot;ЕСЛИ(P2&lt;Q2)&quot;"/>
        <color rgb="FFFF0000"/>
        <color rgb="FF00B050"/>
      </colorScale>
    </cfRule>
  </conditionalFormatting>
  <conditionalFormatting sqref="P2:P6">
    <cfRule type="cellIs" dxfId="0" priority="1" operator="lessThan">
      <formula>$Q$2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19" workbookViewId="0">
      <selection activeCell="G26" sqref="G2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97" t="s">
        <v>47</v>
      </c>
      <c r="F9" s="97"/>
      <c r="G9" s="97"/>
      <c r="H9" s="97"/>
      <c r="I9" s="97"/>
    </row>
    <row r="11" spans="5:9" ht="28.5" x14ac:dyDescent="0.25">
      <c r="E11" s="23" t="s">
        <v>28</v>
      </c>
      <c r="F11" s="23" t="s">
        <v>29</v>
      </c>
      <c r="G11" s="23" t="s">
        <v>30</v>
      </c>
      <c r="H11" s="23" t="s">
        <v>31</v>
      </c>
      <c r="I11" s="23" t="s">
        <v>32</v>
      </c>
    </row>
    <row r="12" spans="5:9" ht="15.75" x14ac:dyDescent="0.25">
      <c r="E12" s="24" t="s">
        <v>4</v>
      </c>
      <c r="F12" s="25" t="s">
        <v>38</v>
      </c>
      <c r="G12" s="26">
        <v>368</v>
      </c>
      <c r="H12" s="25">
        <f>121*3</f>
        <v>363</v>
      </c>
      <c r="I12" s="27">
        <f>1-G12/H12</f>
        <v>-1.377410468319562E-2</v>
      </c>
    </row>
    <row r="13" spans="5:9" ht="31.5" x14ac:dyDescent="0.25">
      <c r="E13" s="24" t="s">
        <v>5</v>
      </c>
      <c r="F13" s="25" t="s">
        <v>37</v>
      </c>
      <c r="G13" s="26">
        <v>251</v>
      </c>
      <c r="H13" s="25">
        <f>82*3</f>
        <v>246</v>
      </c>
      <c r="I13" s="27">
        <f t="shared" ref="I13:I18" si="0">1-G13/H13</f>
        <v>-2.0325203252032464E-2</v>
      </c>
    </row>
    <row r="14" spans="5:9" ht="31.5" x14ac:dyDescent="0.25">
      <c r="E14" s="24" t="s">
        <v>6</v>
      </c>
      <c r="F14" s="25" t="s">
        <v>40</v>
      </c>
      <c r="G14" s="26">
        <v>251</v>
      </c>
      <c r="H14" s="25">
        <f>82*3</f>
        <v>246</v>
      </c>
      <c r="I14" s="27">
        <f t="shared" si="0"/>
        <v>-2.0325203252032464E-2</v>
      </c>
    </row>
    <row r="15" spans="5:9" ht="15.75" x14ac:dyDescent="0.25">
      <c r="E15" s="24" t="s">
        <v>7</v>
      </c>
      <c r="F15" s="25" t="s">
        <v>33</v>
      </c>
      <c r="G15" s="26">
        <v>175</v>
      </c>
      <c r="H15" s="25">
        <f>56*3</f>
        <v>168</v>
      </c>
      <c r="I15" s="28">
        <f t="shared" si="0"/>
        <v>-4.1666666666666741E-2</v>
      </c>
    </row>
    <row r="16" spans="5:9" ht="31.5" x14ac:dyDescent="0.25">
      <c r="E16" s="24" t="s">
        <v>34</v>
      </c>
      <c r="F16" s="25" t="s">
        <v>36</v>
      </c>
      <c r="G16" s="26">
        <v>159</v>
      </c>
      <c r="H16" s="26">
        <f>56*3</f>
        <v>168</v>
      </c>
      <c r="I16" s="27">
        <f t="shared" si="0"/>
        <v>5.3571428571428603E-2</v>
      </c>
    </row>
    <row r="17" spans="5:9" ht="47.25" x14ac:dyDescent="0.25">
      <c r="E17" s="24" t="s">
        <v>9</v>
      </c>
      <c r="F17" s="25" t="s">
        <v>35</v>
      </c>
      <c r="G17" s="26">
        <v>73</v>
      </c>
      <c r="H17" s="25">
        <f>25*3</f>
        <v>75</v>
      </c>
      <c r="I17" s="27">
        <f t="shared" si="0"/>
        <v>2.6666666666666616E-2</v>
      </c>
    </row>
    <row r="18" spans="5:9" ht="15.75" x14ac:dyDescent="0.25">
      <c r="E18" s="24" t="s">
        <v>10</v>
      </c>
      <c r="F18" s="25" t="s">
        <v>39</v>
      </c>
      <c r="G18" s="26">
        <v>326</v>
      </c>
      <c r="H18" s="25">
        <f>104*3</f>
        <v>312</v>
      </c>
      <c r="I18" s="27">
        <f t="shared" si="0"/>
        <v>-4.4871794871794934E-2</v>
      </c>
    </row>
    <row r="23" spans="5:9" x14ac:dyDescent="0.25">
      <c r="E23" s="97" t="s">
        <v>45</v>
      </c>
      <c r="F23" s="97"/>
      <c r="G23" s="97"/>
      <c r="H23" s="97"/>
      <c r="I23" s="97"/>
    </row>
    <row r="25" spans="5:9" x14ac:dyDescent="0.25">
      <c r="E25" s="30" t="s">
        <v>28</v>
      </c>
      <c r="F25" s="30" t="s">
        <v>29</v>
      </c>
      <c r="G25" s="30" t="s">
        <v>30</v>
      </c>
      <c r="H25" s="30" t="s">
        <v>31</v>
      </c>
      <c r="I25" s="30" t="s">
        <v>32</v>
      </c>
    </row>
    <row r="26" spans="5:9" ht="15.75" x14ac:dyDescent="0.25">
      <c r="E26" s="35" t="s">
        <v>4</v>
      </c>
      <c r="F26" s="34" t="s">
        <v>38</v>
      </c>
      <c r="G26" s="32">
        <f>5*368</f>
        <v>1840</v>
      </c>
      <c r="H26" s="31">
        <f>721*3</f>
        <v>2163</v>
      </c>
      <c r="I26" s="33">
        <f>1-G26/H26</f>
        <v>0.14932963476652794</v>
      </c>
    </row>
    <row r="27" spans="5:9" ht="15.75" x14ac:dyDescent="0.25">
      <c r="E27" s="35" t="s">
        <v>5</v>
      </c>
      <c r="F27" s="34" t="s">
        <v>37</v>
      </c>
      <c r="G27" s="32">
        <f>5*251</f>
        <v>1255</v>
      </c>
      <c r="H27" s="31">
        <f>3*464</f>
        <v>1392</v>
      </c>
      <c r="I27" s="33">
        <f t="shared" ref="I27:I32" si="1">1-G27/H27</f>
        <v>9.8419540229885083E-2</v>
      </c>
    </row>
    <row r="28" spans="5:9" ht="15.75" x14ac:dyDescent="0.25">
      <c r="E28" s="35" t="s">
        <v>6</v>
      </c>
      <c r="F28" s="34" t="s">
        <v>40</v>
      </c>
      <c r="G28" s="32">
        <f>5*251</f>
        <v>1255</v>
      </c>
      <c r="H28" s="31">
        <f>3*462</f>
        <v>1386</v>
      </c>
      <c r="I28" s="33">
        <f t="shared" si="1"/>
        <v>9.4516594516594554E-2</v>
      </c>
    </row>
    <row r="29" spans="5:9" ht="15.75" x14ac:dyDescent="0.25">
      <c r="E29" s="35" t="s">
        <v>7</v>
      </c>
      <c r="F29" s="34" t="s">
        <v>33</v>
      </c>
      <c r="G29" s="32">
        <f>5*175</f>
        <v>875</v>
      </c>
      <c r="H29" s="31">
        <f>3*314</f>
        <v>942</v>
      </c>
      <c r="I29" s="29">
        <f t="shared" si="1"/>
        <v>7.1125265392781301E-2</v>
      </c>
    </row>
    <row r="30" spans="5:9" ht="15.75" x14ac:dyDescent="0.25">
      <c r="E30" s="35" t="s">
        <v>34</v>
      </c>
      <c r="F30" s="34" t="s">
        <v>36</v>
      </c>
      <c r="G30" s="32">
        <f>5*159</f>
        <v>795</v>
      </c>
      <c r="H30" s="31">
        <f>3*330</f>
        <v>990</v>
      </c>
      <c r="I30" s="33">
        <f t="shared" si="1"/>
        <v>0.19696969696969702</v>
      </c>
    </row>
    <row r="31" spans="5:9" ht="15.75" x14ac:dyDescent="0.25">
      <c r="E31" s="35" t="s">
        <v>9</v>
      </c>
      <c r="F31" s="34" t="s">
        <v>35</v>
      </c>
      <c r="G31" s="32">
        <f>5*73</f>
        <v>365</v>
      </c>
      <c r="H31" s="31">
        <f>3*141</f>
        <v>423</v>
      </c>
      <c r="I31" s="33">
        <f t="shared" si="1"/>
        <v>0.13711583924349879</v>
      </c>
    </row>
    <row r="32" spans="5:9" ht="15.75" x14ac:dyDescent="0.25">
      <c r="E32" s="35" t="s">
        <v>10</v>
      </c>
      <c r="F32" s="34" t="s">
        <v>39</v>
      </c>
      <c r="G32" s="32">
        <f>5*326</f>
        <v>1630</v>
      </c>
      <c r="H32" s="31">
        <f>3*599</f>
        <v>1797</v>
      </c>
      <c r="I32" s="33">
        <f t="shared" si="1"/>
        <v>9.2932665553700611E-2</v>
      </c>
    </row>
    <row r="35" spans="5:15" x14ac:dyDescent="0.25">
      <c r="E35" s="97" t="s">
        <v>46</v>
      </c>
      <c r="F35" s="97"/>
      <c r="G35" s="97"/>
      <c r="H35" s="97"/>
      <c r="I35" s="97"/>
    </row>
    <row r="37" spans="5:15" x14ac:dyDescent="0.25">
      <c r="E37" s="30" t="s">
        <v>28</v>
      </c>
      <c r="F37" s="30" t="s">
        <v>29</v>
      </c>
      <c r="G37" s="30" t="s">
        <v>30</v>
      </c>
      <c r="H37" s="30" t="s">
        <v>31</v>
      </c>
      <c r="I37" s="30" t="s">
        <v>32</v>
      </c>
      <c r="L37" s="36" t="s">
        <v>41</v>
      </c>
      <c r="M37" s="36" t="s">
        <v>42</v>
      </c>
      <c r="N37" s="36" t="s">
        <v>43</v>
      </c>
      <c r="O37" s="36" t="s">
        <v>44</v>
      </c>
    </row>
    <row r="38" spans="5:15" ht="15.75" x14ac:dyDescent="0.25">
      <c r="E38" s="35" t="s">
        <v>4</v>
      </c>
      <c r="F38" s="34" t="s">
        <v>38</v>
      </c>
      <c r="G38" s="32">
        <f>5*368</f>
        <v>1840</v>
      </c>
      <c r="H38" s="31">
        <v>2109</v>
      </c>
      <c r="I38" s="33">
        <f>1-G38/H38</f>
        <v>0.12754860123281175</v>
      </c>
      <c r="L38" s="36" t="s">
        <v>35</v>
      </c>
      <c r="M38" s="36">
        <v>377</v>
      </c>
      <c r="N38" s="36">
        <v>27</v>
      </c>
      <c r="O38" s="36">
        <v>0</v>
      </c>
    </row>
    <row r="39" spans="5:15" ht="15.75" x14ac:dyDescent="0.25">
      <c r="E39" s="35" t="s">
        <v>5</v>
      </c>
      <c r="F39" s="34" t="s">
        <v>37</v>
      </c>
      <c r="G39" s="32">
        <f>5*251</f>
        <v>1255</v>
      </c>
      <c r="H39" s="36">
        <v>1315</v>
      </c>
      <c r="I39" s="33">
        <f t="shared" ref="I39:I44" si="2">1-G39/H39</f>
        <v>4.5627376425855459E-2</v>
      </c>
      <c r="L39" s="36" t="s">
        <v>36</v>
      </c>
      <c r="M39" s="36">
        <v>998</v>
      </c>
      <c r="N39" s="36">
        <v>1</v>
      </c>
      <c r="O39" s="36">
        <v>0</v>
      </c>
    </row>
    <row r="40" spans="5:15" ht="15.75" x14ac:dyDescent="0.25">
      <c r="E40" s="35" t="s">
        <v>6</v>
      </c>
      <c r="F40" s="34" t="s">
        <v>40</v>
      </c>
      <c r="G40" s="32">
        <f>5*251</f>
        <v>1255</v>
      </c>
      <c r="H40" s="31">
        <v>1315</v>
      </c>
      <c r="I40" s="33">
        <f t="shared" si="2"/>
        <v>4.5627376425855459E-2</v>
      </c>
      <c r="L40" s="36" t="s">
        <v>37</v>
      </c>
      <c r="M40" s="36" t="s">
        <v>48</v>
      </c>
      <c r="N40" s="36">
        <v>0</v>
      </c>
      <c r="O40" s="36">
        <v>0</v>
      </c>
    </row>
    <row r="41" spans="5:15" ht="15.75" x14ac:dyDescent="0.25">
      <c r="E41" s="35" t="s">
        <v>7</v>
      </c>
      <c r="F41" s="34" t="s">
        <v>33</v>
      </c>
      <c r="G41" s="32">
        <f>5*175</f>
        <v>875</v>
      </c>
      <c r="H41" s="36">
        <v>924</v>
      </c>
      <c r="I41" s="29">
        <f t="shared" si="2"/>
        <v>5.3030303030302983E-2</v>
      </c>
      <c r="L41" s="36" t="s">
        <v>38</v>
      </c>
      <c r="M41" s="36" t="s">
        <v>49</v>
      </c>
      <c r="N41" s="36">
        <v>139</v>
      </c>
      <c r="O41" s="36">
        <v>0</v>
      </c>
    </row>
    <row r="42" spans="5:15" ht="15.75" x14ac:dyDescent="0.25">
      <c r="E42" s="35" t="s">
        <v>34</v>
      </c>
      <c r="F42" s="34" t="s">
        <v>36</v>
      </c>
      <c r="G42" s="32">
        <f>5*159</f>
        <v>795</v>
      </c>
      <c r="H42" s="36">
        <v>998</v>
      </c>
      <c r="I42" s="33">
        <f t="shared" si="2"/>
        <v>0.20340681362725455</v>
      </c>
      <c r="L42" s="36" t="s">
        <v>39</v>
      </c>
      <c r="M42" s="36" t="s">
        <v>50</v>
      </c>
      <c r="N42" s="36">
        <v>1</v>
      </c>
      <c r="O42" s="36">
        <v>0</v>
      </c>
    </row>
    <row r="43" spans="5:15" ht="15.75" x14ac:dyDescent="0.25">
      <c r="E43" s="35" t="s">
        <v>9</v>
      </c>
      <c r="F43" s="34" t="s">
        <v>35</v>
      </c>
      <c r="G43" s="32">
        <f>5*73</f>
        <v>365</v>
      </c>
      <c r="H43" s="36">
        <v>404</v>
      </c>
      <c r="I43" s="33">
        <f t="shared" si="2"/>
        <v>9.6534653465346509E-2</v>
      </c>
      <c r="L43" s="36" t="s">
        <v>33</v>
      </c>
      <c r="M43" s="36">
        <v>924</v>
      </c>
      <c r="N43" s="36">
        <v>0</v>
      </c>
      <c r="O43" s="36">
        <v>0</v>
      </c>
    </row>
    <row r="44" spans="5:15" ht="15.75" x14ac:dyDescent="0.25">
      <c r="E44" s="35" t="s">
        <v>10</v>
      </c>
      <c r="F44" s="34" t="s">
        <v>39</v>
      </c>
      <c r="G44" s="32">
        <f>5*326</f>
        <v>1630</v>
      </c>
      <c r="H44" s="31">
        <v>1675</v>
      </c>
      <c r="I44" s="33">
        <f t="shared" si="2"/>
        <v>2.68656716417911E-2</v>
      </c>
      <c r="L44" s="36" t="s">
        <v>40</v>
      </c>
      <c r="M44" s="36" t="s">
        <v>48</v>
      </c>
      <c r="N44" s="36">
        <v>0</v>
      </c>
      <c r="O44" s="36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Ручной расчет</vt:lpstr>
      <vt:lpstr>Лист1</vt:lpstr>
      <vt:lpstr>Лист2</vt:lpstr>
      <vt:lpstr>Лист3</vt:lpstr>
      <vt:lpstr>Лист4</vt:lpstr>
      <vt:lpstr>Автоматизированный расчет</vt:lpstr>
      <vt:lpstr>Соответствие профилю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Никита</cp:lastModifiedBy>
  <dcterms:created xsi:type="dcterms:W3CDTF">2015-06-05T18:19:34Z</dcterms:created>
  <dcterms:modified xsi:type="dcterms:W3CDTF">2020-08-03T19:34:09Z</dcterms:modified>
</cp:coreProperties>
</file>